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676" tabRatio="845" activeTab="3"/>
  </bookViews>
  <sheets>
    <sheet name="SATURS" sheetId="1" r:id="rId1"/>
    <sheet name="8.1. pielikums" sheetId="2" r:id="rId2"/>
    <sheet name="8.2.pielikums" sheetId="3" r:id="rId3"/>
    <sheet name="8.3.pielikums" sheetId="4" r:id="rId4"/>
    <sheet name="8.4.pielikums" sheetId="5" r:id="rId5"/>
    <sheet name="8.5.pielikums" sheetId="6" r:id="rId6"/>
    <sheet name="8.6.pielikums" sheetId="7" r:id="rId7"/>
    <sheet name="8.7.pielikums" sheetId="8" r:id="rId8"/>
    <sheet name="8.8.pielikums" sheetId="9" r:id="rId9"/>
    <sheet name="8.9. pielikums" sheetId="10" r:id="rId10"/>
    <sheet name="9.pielikums" sheetId="11" r:id="rId11"/>
  </sheets>
  <definedNames>
    <definedName name="_xlfn._FV" hidden="1">#NAME?</definedName>
    <definedName name="_xlfn.ANCHORARRAY" hidden="1">#NAME?</definedName>
    <definedName name="_xlfn.SINGLE" hidden="1">#NAME?</definedName>
    <definedName name="_xlfn.TEXTJOIN" hidden="1">#NAME?</definedName>
    <definedName name="_xlnm.Print_Titles" localSheetId="3">'8.3.pielikums'!$8:$9</definedName>
  </definedNames>
  <calcPr fullCalcOnLoad="1"/>
</workbook>
</file>

<file path=xl/comments3.xml><?xml version="1.0" encoding="utf-8"?>
<comments xmlns="http://schemas.openxmlformats.org/spreadsheetml/2006/main">
  <authors>
    <author>Ingrīda Ivanova</author>
  </authors>
  <commentList>
    <comment ref="C41" authorId="0">
      <text>
        <r>
          <rPr>
            <b/>
            <sz val="9"/>
            <rFont val="Tahoma"/>
            <family val="2"/>
          </rPr>
          <t>Ingrīda Ivanova:</t>
        </r>
        <r>
          <rPr>
            <sz val="9"/>
            <rFont val="Tahoma"/>
            <family val="2"/>
          </rPr>
          <t xml:space="preserve">
Sāka strādāt ar 15.10.</t>
        </r>
      </text>
    </comment>
  </commentList>
</comments>
</file>

<file path=xl/sharedStrings.xml><?xml version="1.0" encoding="utf-8"?>
<sst xmlns="http://schemas.openxmlformats.org/spreadsheetml/2006/main" count="478" uniqueCount="368">
  <si>
    <t>SATURS</t>
  </si>
  <si>
    <t>Nosaukums</t>
  </si>
  <si>
    <t xml:space="preserve">Pielikuma Nr. </t>
  </si>
  <si>
    <t>PR pakalpojuma koordinators</t>
  </si>
  <si>
    <t>PR pakalpojuma vadītājs</t>
  </si>
  <si>
    <t>Aprēķina rādītāju pamatojuma skaidrojums</t>
  </si>
  <si>
    <t>Izmaksu nosaukums</t>
  </si>
  <si>
    <t xml:space="preserve">IT speciālists </t>
  </si>
  <si>
    <t>Aplikācija atbalsta grupu tikšanās reizēm attālināti</t>
  </si>
  <si>
    <t>Priekšizpētes grupas tiek nodrošinātas attālināti, vispārīgās un specializētas grupas tiek nodrošinātas abos variantos, t.i. klātienes nodarbības plānots nodrošināt arī attālināti, jo pastāv liela iespēja, ka ne visi dalībnieki varēs tikt klātienē.</t>
  </si>
  <si>
    <t>Vienas grupu nodarbības izmaksas</t>
  </si>
  <si>
    <t>Kopējās izmaksas</t>
  </si>
  <si>
    <t>Grupu nodarbību skaits</t>
  </si>
  <si>
    <t>Sakaru pakalpojumi (telefons, internets)</t>
  </si>
  <si>
    <t>Tulks</t>
  </si>
  <si>
    <t>Noformēšanas mākslinieks</t>
  </si>
  <si>
    <t>Izmaksu nepieciešamības pamatojums</t>
  </si>
  <si>
    <t>Aprēķina skaidrojums</t>
  </si>
  <si>
    <t>Kopējās izmaksas  izmēģinājumprojekta laikā 12 mēnešu periodā</t>
  </si>
  <si>
    <t xml:space="preserve">Bukleti par autismu un PR pakalpojuma saņemšanas iespējām </t>
  </si>
  <si>
    <t xml:space="preserve">Baneri par autismu un PR pakalpojuma saņemšanas iespējām </t>
  </si>
  <si>
    <t>Pēc pieprasījuma sagatavo maketus dažādiem informatīvo materiālu veidiem, t.sk. bukletiem un baneriem, kas paredzēti PR pakalpojuma popularizēšanai.</t>
  </si>
  <si>
    <t xml:space="preserve">Aprēķins  </t>
  </si>
  <si>
    <t>KOPĀ</t>
  </si>
  <si>
    <t xml:space="preserve">Informācijas izplatīšana par autismu un iespējamu dalību PR pakalpojumā </t>
  </si>
  <si>
    <t>Izmaksas vienā mēnesī</t>
  </si>
  <si>
    <t>15.2.pielikums</t>
  </si>
  <si>
    <t>Telpu īre PR pakalpojuma ieviešanas nodrošināšanai</t>
  </si>
  <si>
    <t>Bērnu pieskatītājs vispārējās grupu nodarbībās</t>
  </si>
  <si>
    <t>Bērnu pieskatītājs radošo darbnīcu grupu nodarbībās</t>
  </si>
  <si>
    <t>Transporta izmaksas</t>
  </si>
  <si>
    <t>Radošo darbnīcu darba materiālu izmaksas</t>
  </si>
  <si>
    <t>Izveido LAA mājas lapas sadaļu, uztur un pilnveido to. Tajā tiek ievietoti arī iepriekš sagatavoti mareriāli par autismu. Izveido un uztur datu bāzi.</t>
  </si>
  <si>
    <t>Radošās darbnīcas</t>
  </si>
  <si>
    <t>Supervīziju izmaksas</t>
  </si>
  <si>
    <t>Priekšizpētes grupu</t>
  </si>
  <si>
    <t>nodarbību skaits</t>
  </si>
  <si>
    <t>nodarbību izmaksas</t>
  </si>
  <si>
    <t>Kafijas pauzes vispārīgās atbalsta grupās</t>
  </si>
  <si>
    <t>Kafijas pauzes specializētajās atbalsta grupās</t>
  </si>
  <si>
    <t>Kafijas pauzes radošās darbnīcās</t>
  </si>
  <si>
    <t>Vispārīgās atbalsta grupas</t>
  </si>
  <si>
    <t>Speciālās atbalsta grupas</t>
  </si>
  <si>
    <t>Vispārīgā atbalsta grupa</t>
  </si>
  <si>
    <t>Speciālā atbalsta grupa</t>
  </si>
  <si>
    <t xml:space="preserve">Telpu īre  klātienes grupu nodarbībām  ārpus Rīgas </t>
  </si>
  <si>
    <t>LAA jau šobrīd izmanto zoom aplikāciju un tās mēneša maksa ir 15.80 euro. Izmēģinājumprojektā plānots turpināt tās izmantošanu.</t>
  </si>
  <si>
    <t>X</t>
  </si>
  <si>
    <t>Priekšizpētes grupa</t>
  </si>
  <si>
    <t>PR pakalpojuma veids</t>
  </si>
  <si>
    <t>Grupu nodarbību kopējais skaits</t>
  </si>
  <si>
    <t>sociālais darbinieks</t>
  </si>
  <si>
    <t>Procentuālais sadalījums pret konkrētā speciālista atlīdzību pa PR pakalpojuma veidiem</t>
  </si>
  <si>
    <t>Sociālais darbinieks</t>
  </si>
  <si>
    <t>Atlīdzības lielums**</t>
  </si>
  <si>
    <t>** Atlīdzības lielums</t>
  </si>
  <si>
    <t>PR pakalpojuma vadītāja, koordinators un sociālā darbinieka atlīdzības aprēķins sadalījumā par PR pakalpojuma veidiem</t>
  </si>
  <si>
    <t xml:space="preserve">atlīdzība par vienu grupu nodarbību </t>
  </si>
  <si>
    <t>Cena pakalpojumam</t>
  </si>
  <si>
    <t>Salīdzinātais pakalpojums</t>
  </si>
  <si>
    <t>Pakalpojuma sniedzējs</t>
  </si>
  <si>
    <t>SIA"Trans-Tur"</t>
  </si>
  <si>
    <t>Mikroautobus līdz 20 ar vienu šoferi dienā.</t>
  </si>
  <si>
    <t>Skaidrojums aprēķinam</t>
  </si>
  <si>
    <t>Ford Transit markas auto noma ar šoferi (17 vietas). Pakalpojuma cena norādīta par dienu. 
Vidējais degvielas patēriņš uz 100 km ir 7.9 litri</t>
  </si>
  <si>
    <t>Mercedes Benz Sprinter markas auto noma ar šoferi (20 vietas). Pakalpojuma cena par dienu.
Vidējais degvielas patēriņš uz 100 km ir 9.2 litri</t>
  </si>
  <si>
    <t>Supervizors, kas sniedz pakalpojumus pašvaldības sociālajiem dienestiem.</t>
  </si>
  <si>
    <t>Rakstiskais tulkojums no angļu valodas. Pakalpojuma cena par vienu lapu.</t>
  </si>
  <si>
    <t>Mācību centrs "Atbalsts"</t>
  </si>
  <si>
    <t>Valodueksperts.lv</t>
  </si>
  <si>
    <t>Polyglot.lv</t>
  </si>
  <si>
    <t>Rakstiskais tulkojums no somu valodas. Pakalpojuma cena par vienu lapu.</t>
  </si>
  <si>
    <t>lkt.lv</t>
  </si>
  <si>
    <t>Tipografijas.lv</t>
  </si>
  <si>
    <t>Labadruka.lv</t>
  </si>
  <si>
    <t>Opus.lv</t>
  </si>
  <si>
    <t>Salīdzināta pakalpojuma cena par 2000 bukletu tirāžu, A4 lapa, divpusēja krāsaina druka</t>
  </si>
  <si>
    <t>Balticprint.lv</t>
  </si>
  <si>
    <t>Bite</t>
  </si>
  <si>
    <t>Tele2</t>
  </si>
  <si>
    <t>Tvnet grupa</t>
  </si>
  <si>
    <t>Salīdzināta cena banerim Giga XL</t>
  </si>
  <si>
    <t xml:space="preserve">Delfi </t>
  </si>
  <si>
    <t>TV3 play</t>
  </si>
  <si>
    <t>Kurzemes plānošanas reģions</t>
  </si>
  <si>
    <t>Zemgales plānošanas reģions</t>
  </si>
  <si>
    <t>Vidzemes plānošanas reģions</t>
  </si>
  <si>
    <t>Jelgavas Sv.Trīsvienības baznīcas Tornis</t>
  </si>
  <si>
    <t>Lielplatones muiža</t>
  </si>
  <si>
    <t>Vilces muiža</t>
  </si>
  <si>
    <t>Zaļenieku muiža</t>
  </si>
  <si>
    <t>Aktivitāšu centrs "Līvbērze"</t>
  </si>
  <si>
    <t>Koprades māja "Skola6"</t>
  </si>
  <si>
    <t>Tukuma Raiņa ģimnācija</t>
  </si>
  <si>
    <t>Ventspils kultūras centrs</t>
  </si>
  <si>
    <t>Ventspils augstskola</t>
  </si>
  <si>
    <t>Bibliotēkas apmācību telpas</t>
  </si>
  <si>
    <t>Tukuma ledushalle</t>
  </si>
  <si>
    <t>Tornīšu zāle Talsos</t>
  </si>
  <si>
    <t xml:space="preserve">Vidzemes augstskola </t>
  </si>
  <si>
    <t>Bauskas novada pašvaldību izglītības iestādes</t>
  </si>
  <si>
    <t xml:space="preserve">MK 26.04.2022. noteikumi Nr.262 saime "Pedagoģiskās darbības atbalsts" 33. saime I līmenis, kas atbilst 4. mēnešalgas grupai. Alga mēnesī 880 + DD soc.nod. (23.59%) 207.59 euro = 1087.59 euro.   Stundas likme 1087.59/21 darba diena/ 8h =6.47 euro. </t>
  </si>
  <si>
    <t>MK 26.04.2022 noteikumi Nr.262 –   21. saime 21.1. apakšaime "Datorgrafika un WEB dizains", kas pielīdzināms 8. mēnešalgas grupai. Alga mēnesī 1291 euro + 304.55 euro (DD soc.nodoklis) = 1595.55 euro</t>
  </si>
  <si>
    <t>Apkopotā informācija par veiktajām tirgus izpētēm</t>
  </si>
  <si>
    <t>Pārvadājumi24.lv</t>
  </si>
  <si>
    <t>SIA “Vita 2”</t>
  </si>
  <si>
    <t>Mercedes Benz Vito vai VW T5 markas mikro autobusu nomu ar šoferi (8 vietas).  Pakalpojuma cenu veido divu šādu auto noma, pakalpojuma cena par dienu.
Vidējais degvielas patēriņš uz 100 km ir 7.2 litri (dīzeļdegviela)</t>
  </si>
  <si>
    <t>Izvēlētā pakalpojuma cena</t>
  </si>
  <si>
    <t xml:space="preserve">Supervīzijas izmaksa ir 22 euro par cilvēku. Supervīzijas grupai ar 6 cilvēkiem cena ir 132 euro. </t>
  </si>
  <si>
    <t>Supervīzijas grupas cena ir 160 euro.</t>
  </si>
  <si>
    <t>Supervizors, kas sniedz pakalpojumu sociālās jomas nozarē un viņam ir pieredzee darbā ar mērķa grupu</t>
  </si>
  <si>
    <t xml:space="preserve">Salīdzinot pakalpojuma cenas, ņemts vērā, ka iekštelpā vienai personai tiek nodrošināts ne mazāk kā 5 m2, līdz ar to atbalsta grupu telpu platība vidēji 60 m2 (par pamatu ņemta MK noteikumu “Epidemioloģiskās drošības pasākumi Covid-19 infekcijas izplatības ierobežošanai” 29.3. punkta vēsturiskā redakcija līdz 28.02.2022) </t>
  </si>
  <si>
    <t>Izmaksu aprēķinam izvēlēta vidējā aritmētiskā cena (226.86 euro/14 pakalpojuma sniedzēji) apskatītajām cenām dažādos Latvijas plānošanas reģionos un četrpdasmit dažāda veida pakalpojumu sniedzējiem.</t>
  </si>
  <si>
    <t>Tirgus ir piesātināts ar lielu piedāvājumu, tādēļ izmaksu aprēķinam ir izvēlēta zemākā pakalpojuma cena.</t>
  </si>
  <si>
    <t>Plānota 10 000 bukletu drukāšana. Tiek plānots bukletus nodot izplatīšanai ģimenes ārstiem, sociālajiem dienestiem, dažādām valsts un pašvaldību iestādēm, nevalstiskajām organizācijām, kas strādā ar bērniem ar funkcionālajiem traucējumiem (t.sk. AST). Plānojot izmaksas, pieņemts, ka izplatīšanā varētu būt iesaistīti līdz 10% no visiem ģimenes ārstiem, t.i. 120. Sākotnēji katram varētu nodrošināt ap 50 bukletiem, t.i. 6000 kopā.</t>
  </si>
  <si>
    <t>3684.50 euro / 12 mēneši = 307.04 euro mēnesī</t>
  </si>
  <si>
    <t xml:space="preserve">Tulko dažāda veida materiālus no somu un angļu valodas latviešu valodā. Tulks piesaistīts uz izmēģinājumprojekta pirmajiem 6 mēnešiem. Tiek plānota materiālu tulkošana no angļu un somu valodas aptuveni 500 lapu apmērā izmēģinājumprojekta laikā. Pieņemts, ka puse no tām būs materiāli somu valodā un puse angļu valodā. </t>
  </si>
  <si>
    <t>PR pakalpojuma izmaksu pozīcijas</t>
  </si>
  <si>
    <t xml:space="preserve">Kopējās izmaksas </t>
  </si>
  <si>
    <t>Vispārējā atbalsta grupa</t>
  </si>
  <si>
    <t>Atlīdzības izmaksas</t>
  </si>
  <si>
    <t>Īpatsvaru sadalījums grupu nodarbību apjomam               %*</t>
  </si>
  <si>
    <t>PR pakalpojuma vadītājam un koordinatoram</t>
  </si>
  <si>
    <t>sociālajam darbiniekam**</t>
  </si>
  <si>
    <t xml:space="preserve">sociālajam darbiniekam </t>
  </si>
  <si>
    <t xml:space="preserve">*Īpatsvaru sadalījums grupu nodarbību apjomam              </t>
  </si>
  <si>
    <t>PR pakalpojuma vadītājs*</t>
  </si>
  <si>
    <t>PR pakalpojuma koordinators*</t>
  </si>
  <si>
    <t>Sociālais darbinieks*</t>
  </si>
  <si>
    <t>PR pakalpojuma nodrošināšanas kopējās izmaksas pa izmaksu pozīcijām</t>
  </si>
  <si>
    <t>Vienas grupu nodarbības izmaksas/             cena</t>
  </si>
  <si>
    <t>Vienas grupu nodarbības izmaksas/           cena</t>
  </si>
  <si>
    <t>Vienas grupu nodarbības izmaksas/            cena</t>
  </si>
  <si>
    <t>PR pakalpojuma vienas vienības izmaksu /cenas aprēķins</t>
  </si>
  <si>
    <t xml:space="preserve">PR pakalpojuma katra veida vienas vienības izmaksu/cenas aprēķins izmēģinājumprojektam </t>
  </si>
  <si>
    <t>Profesionālis - vietējais speciālists***</t>
  </si>
  <si>
    <t>Profesionālis - somu speciālists**</t>
  </si>
  <si>
    <t>Pieredzes eksperts****</t>
  </si>
  <si>
    <t>Administrēšanas izmaksas******</t>
  </si>
  <si>
    <t>Apkopotā informācija par tirgus izpēti PR pakalpojuma atbalsta grupu vadītāju apmācību nodrošināšanai</t>
  </si>
  <si>
    <t>Mērvienība</t>
  </si>
  <si>
    <t>Vienas apmācību grupu nodarbības izmaksas</t>
  </si>
  <si>
    <t>Apmācību grupu skaits</t>
  </si>
  <si>
    <t>Kafijas pauze</t>
  </si>
  <si>
    <t>Tulko somu speciālista lekciju dažāda veida materiālus no angļu valodas latviešu valodā (secīgā tulkošana). Tulka pakalpojums ir nepieciešams, lai nodrošinātu, ka visi apmācību dalībnieki saprot mācīto un nerodas pārpratumi vai mācības nav lietderīgas nepietiekamas valodas zināšanu trūkuma dēļ.</t>
  </si>
  <si>
    <t>Profesionāļa - somu speciālista ceļa izdevumi</t>
  </si>
  <si>
    <t>Profesionālis - somu speciālista atlīdzība</t>
  </si>
  <si>
    <t>AirBaltic</t>
  </si>
  <si>
    <t>Skatīti lidojumi no Somijas, Helsinkiem uz Rīgu un atpakaļ.</t>
  </si>
  <si>
    <t>FinAir</t>
  </si>
  <si>
    <t>Scandinavian Airlines</t>
  </si>
  <si>
    <t>Profesionālis - vietējais speciālists</t>
  </si>
  <si>
    <t xml:space="preserve">PR pakalpojuma ieviešanā tiek pārņemta Somijas Autisma apvienības labā prakse, kas ietver ekspertu apmācību un motivēšanu dalīties ar savu pieredzi. Ekspertiem var būt ļoti nozīmīga pieredze un zināšanas, ar kurām dalīties atbalsta grupā, tādējādi palīdzot cilvēkiem, kuri ir līdzīgā situācijā. Diemžēl prasmju trūkums komunikācijā un uzstāšanās jomā var būtiski ietekmēt eksperta sniegtās informācijas uztveramību. </t>
  </si>
  <si>
    <t xml:space="preserve">Veidojot PR pakalpojumu, tiek pārņemta Somijas Autisma apvienības labā prakse, līdz ar to tiek plānots, ka atbalsta grupu vadītāju - līdzinieku apmācības vadīs somu speciālisti, izmantojot Somijas Autisma apvienības  izstrādātu un  praktizētu atbalsta grupu vadītāju apmācību programmu. </t>
  </si>
  <si>
    <t xml:space="preserve">Kopā: </t>
  </si>
  <si>
    <t>Ceļa izdevumi atbalsta grupu vadītājiem</t>
  </si>
  <si>
    <t xml:space="preserve">MK 26.04.2022. noteikumi Nr.262 40.saime "Radošie darbi" I līmenis, kas atbilst 5. mēnešalgas grupai. 
Atlīdzība mēnesī 942 euro + DD soc.nod. (23.59%) 222.22 euro = 1164.22 euro. 
</t>
  </si>
  <si>
    <t>1164.22 euro x 12 mēneši = 13970.64 euro</t>
  </si>
  <si>
    <t xml:space="preserve">PR pakalpojuma vadītājs tiek pielīdzināts projekta vadītājam un saskaņā ar MK 26.04.2022 noteikumiem Nr.262 klasificējas 39.1. apakšsaimē "Projektu vadība un īstenošana" II A līmenī, kam piemērojama – 9. mēnešalgu grupa. Atlīdzība  -  bruto alga 1537 euro + 362.58 euro (DD soc.nodoklis (23.59%)) = 1899.58 euro </t>
  </si>
  <si>
    <t xml:space="preserve">PR pakalpojuma koordinators  saskaņā ar MK 26.04.2022 noteikumiem Nr.262 klasificējas 39.1. apakšsaimē "Projektu vadība un īstenošana" I līmenī, kam piemērojama – 8. mēnešalgu grupa. Atlīdzība -  bruto alga 1291 euro + 304.55 euro (DD soc.nodoklis (23.59%)) = 1595.55 euro </t>
  </si>
  <si>
    <t xml:space="preserve">Sociālais darbinieks saskaņā ar MK 26.04.2022 noteikumiem Nr.262 klasificējas 43.1. apakšaimē "Sociālais darbs" V A līmenī, kam piemērojama – 9. mēnešalgu grupa. Atlīdzība -  bruto alga 1537 euro + 362.58 euro (DD soc.nodoklis (23.59%)) = 1899.58 euro </t>
  </si>
  <si>
    <t>Circle-K</t>
  </si>
  <si>
    <t>Viada</t>
  </si>
  <si>
    <t>Neste</t>
  </si>
  <si>
    <t>Latvijas Nafta</t>
  </si>
  <si>
    <t>Virši</t>
  </si>
  <si>
    <t>Lai aprēķinātu vidējo degvielas cenu, apskatīti 5 lielāko tirgotāju  “Viada”, “Circle K”, “Neste”, “Virši”, “Latvijas Nafta” degvielas cenu piedāvājums (cena uz 14.09.2022). Tā kā uz šo brīdi nav zināmi, kāds autotransports tiks izmantots, tad cenas salīdzināšnai izvēlēta dārgākā degviela, tas ir dīzeļdegviela.</t>
  </si>
  <si>
    <t xml:space="preserve">Minētie pakalpojuma sniedzēji transporta pakalpojumu nodrošina visā Latvijas teriotorijā, tāpēc viņi tika atlasīti tirgus aptaujai.  Ņemot vērā to, ka bērni ir  ar FT, tad ir izvēlēts variants SIA "Vita 2" ar divien autobusiem, lai bērniem ar FT nodrošinātu ātrāku nokļūšanu uz PR pakalpojuma norises vietu.  Viena autobusa noma ir 80 euro/dienā, kopējās izmaksas 160 euro.  Papildu vēl ir nepieciešams nodrošināt degvielas izmaksas, jo pakalpojuma sniedzējs piedāvā tikai autobusu nomu ar šoferi. Vidējais degvielas patēriņš uz 100 km ir 7.2 litri. Tiek pieņemts, ka katrs autobuss nobrauks vidēji 100 km vienā reizē nogādājot dalībniekus uz kārtējo grupu nodarbību.   1 litrs dīzeļdegvielas maksā vidēji 1.811 euro (cena uz 14.09.2022) un 7.2 litri x 1.811 euro = 13.04 euro x 2 autobusi = 26.08 euro, kopējās transporta izmaksas ir 160 euro + 26.08 euro = 186.08 euro.                                                                                           </t>
  </si>
  <si>
    <t>Ceļa izdevumu atbalsta grupu vadītājiem vienas grupu nodarbības cena ir 43.46 euro.</t>
  </si>
  <si>
    <t>PR pakalpojuma atbalsta grupu vadītāju - līdzinieku apmācības</t>
  </si>
  <si>
    <t>Viena līdzinieka apmācību izmaksas</t>
  </si>
  <si>
    <t>Kopējais apmācāmo līdznieku skaits</t>
  </si>
  <si>
    <t>Telpu īre</t>
  </si>
  <si>
    <t>Apmācības plānotas klātienē, tā kā apmācību vadītāji dzīvo Somijā, tad viņiem nepieciešams nodrošināt nokļūšanu uz apmācību norises vietu.</t>
  </si>
  <si>
    <t>PR pakalpojuma atbalsta grupu vadītāju - pieredzes ekspertu apmācības</t>
  </si>
  <si>
    <t>Kopējais apmācāmo pieredzes ekspertu skaits</t>
  </si>
  <si>
    <t>Klātienes nodarbībās plānotas kafijas pauzes, kopā plānotas 138 klātienes nodarbības, t.sk., vispārīgās atbalsta grupas - 30, specializētās atbalsta grupas - 28 un radošās darbnīcas 80 grupas.</t>
  </si>
  <si>
    <t xml:space="preserve">Tiek pieņemts, ka, lai nodrošinātu kafijas pauzi, uz vienu grupas dalībnieku vienā grupas nodarbībā tiks izlietoti 3 euro. Viena apmācību grupas nodarbība ilgst 2 stundas, līdz ar to tajā tiek plānotas 1 kafijas pauze. Kopā apmācāmi 20 pieredzes eksperti un katram no tiem būs jāpiedalās 4 nodarbībās. 1) Kopējās kafijas pauzes izmaksas ir 240 euro (20 apmācāmie līdzinieki x 4 nodarbības x 3 euro). 2) Uz vienu apmācāmo grupu kafijas pauzes izmaksas ir 60 euro (240 euro dalīts ar 4 apmācību grupām). </t>
  </si>
  <si>
    <t xml:space="preserve">Lai veicinātu vecāku iesaistīšanos PR pakalpojumu nodrošināšanā - atbalsta grupu vadīšanā, plānots segt ceļa izdevumus apmācību grupu dalībniekiem, kuri dzīvo ārpus Rīgas. </t>
  </si>
  <si>
    <t>Ceļa izdevumi apmācību grupu dalībniekiem, kuri dzīvo ārpus Rīgas</t>
  </si>
  <si>
    <t xml:space="preserve">Daugavpils - Rīga </t>
  </si>
  <si>
    <t>Liepāja - Rīga</t>
  </si>
  <si>
    <t>Valmiera - Rīga</t>
  </si>
  <si>
    <t>Ventspils - Rīga</t>
  </si>
  <si>
    <t>Lai aprēķinātu vidējo cenu ceļa izdevumiem, kas būs sedzami skatīti starpilsētu autobusu biļetes no tālākām lielajām pilsētām. Biļešu cena ņemta no Rīgas starptautiskās auto ostas mājalapas vietnes "bezrindas.lv". Cena par braucienu turp un atpakaļ.</t>
  </si>
  <si>
    <t>Atlikušais finansējums</t>
  </si>
  <si>
    <r>
      <t xml:space="preserve">PR pakalpojuma nodrošināšanai </t>
    </r>
    <r>
      <rPr>
        <b/>
        <sz val="12"/>
        <color indexed="8"/>
        <rFont val="Times New Roman"/>
        <family val="1"/>
      </rPr>
      <t>nepieciešamais kopējais finansējums</t>
    </r>
  </si>
  <si>
    <r>
      <t xml:space="preserve">PR pakalpojuma nodrošināšanai </t>
    </r>
    <r>
      <rPr>
        <b/>
        <sz val="12"/>
        <color indexed="8"/>
        <rFont val="Times New Roman"/>
        <family val="1"/>
      </rPr>
      <t>līgumā plānotais finansējums</t>
    </r>
  </si>
  <si>
    <t>PR pakalpojuma aprobācijas izmēģinājumprojektā nepieciešamā finansējuma aprēķins</t>
  </si>
  <si>
    <t>Pakalpojuma veids</t>
  </si>
  <si>
    <t>Atbalsta grupu vadītāju - līdzinieku apmācības</t>
  </si>
  <si>
    <t>Atbalsta grupu vadītāju - pieredzes ekspertu apmācības</t>
  </si>
  <si>
    <t>12 mēnešu atlīdzība</t>
  </si>
  <si>
    <t>12 mēneša atlīdzība</t>
  </si>
  <si>
    <t xml:space="preserve">Supervīzija nodrošināma PR pakalpojuma vadītājam, PR koordinatoram, sociālajam darbiniekam, 20 vispārīgo atbalsta grupu vadītājiem - līdziniekiem un 13 vispārīgo atbalsta grupu vadītājiem - pieredzes ekspertiem, kopā 36 personām tiks nodrošināta supervīzija.Vienā supervīzijas grupas nodarbībā būs 6 dalībnieki, kopā 6 grupas, reizi mēnesī, kopā 12 supervīzijas vienai grupai un vienas supervīzijas nodarbības ilgums ir 2 stundas.  Papildus grupas supervīzijām atbalsta grupu vadītāji nepieciešamības gadījumā var lūgt individuālo supervīziju, bet ne vairāk kā 2 izmēģinājumprojekta laikā. </t>
  </si>
  <si>
    <t>Atlikušā finansējuma īpatsvars</t>
  </si>
  <si>
    <t>9. pielikums</t>
  </si>
  <si>
    <t>8.9 pielikums</t>
  </si>
  <si>
    <t>8.7.pielikums</t>
  </si>
  <si>
    <t>8.5. pielikums</t>
  </si>
  <si>
    <t>8.4.pielikums</t>
  </si>
  <si>
    <t>8.3.pielikums</t>
  </si>
  <si>
    <t>8.2.pielikums</t>
  </si>
  <si>
    <t>8.1. pielikums</t>
  </si>
  <si>
    <t>8.1.pielikums</t>
  </si>
  <si>
    <t>8.5.pielikums</t>
  </si>
  <si>
    <t>8.6.pielikums</t>
  </si>
  <si>
    <t>8.8.pielikums</t>
  </si>
  <si>
    <t>8.9.pielikums</t>
  </si>
  <si>
    <t>Aprēķins un skaidrojums 8.4. pielikumā.</t>
  </si>
  <si>
    <t xml:space="preserve">Tirgus aptaujas rezultāti un transporta pakalpojuma cenas aprēkins 8.5.pielikumā. </t>
  </si>
  <si>
    <t xml:space="preserve">Tirgus aptaujas rezultāti un ceļa izdevumu atbalsta grupu vadītājiem aprēkins 8.5.pielikumā. </t>
  </si>
  <si>
    <t>Tirgus izpētes rezultātus skatīt 8.5. pielikumā.  2000 bukletu tirāžas cena ir 368.45 euro  Aprēķins 10 reizes x 368.45 euro  = 3684.5  euro</t>
  </si>
  <si>
    <t>Tirgus izpētes rezultātus skatīt 8.5.pielikumā. Aprēķins - 14.52 euro/diena x 31 diena = 450.12 euro</t>
  </si>
  <si>
    <t>No 13 apmācītajiem atbalsta grupu vadītājiem - pieredzes ekspertiem 10 vadīs vispārīgās atbalsta grupas, no kurām 8 būs ārpus Rīgas dažādos reģionos. Šiem astoņiem apmācību grupu dalībniekiem būs jānokļūst uz apmācību nodarbībām klātienē Rīgā. Kopumā 8 no 13 apmācāmajiem atbalstu grupu vadītājiem - pieredzes ekspertiem vadīs vispārīgās atbalsta grupas ārpus Rīgas un tie ir 61.54% (8/13 x 100 =61.54%).  Aprēķinātie vidēji nosedzamie ceļa izdevumi vienam atbalsta grupu vadītājam - ekspertam ir 17.5 eur par braucienu turp un atpakaļ. Tirgus izpētes rezultāts un aprēķina skaidrojumu skatīt 8.9.pielikumā. Tā kā ceļa izdevumi attiecināmi tikai uz daļu no atbalsta grupu vadītājiem - ekspertiem, lai aprēķinātu ceļa izdevumus uz vienu apmācību grupu dalībnieku, tie tika proporcionāli samazināti līdz (17.5 euro x 61.54% = 10.77 euro). (Pārbaude:  10.77 euro x 13 apmācību dalībnieki = 140,01 euro un 140 euro / 17.50 = 8).</t>
  </si>
  <si>
    <r>
      <rPr>
        <b/>
        <sz val="12"/>
        <color indexed="8"/>
        <rFont val="Times New Roman"/>
        <family val="1"/>
      </rPr>
      <t xml:space="preserve">Vispārīgo atbalsta grupu </t>
    </r>
    <r>
      <rPr>
        <sz val="12"/>
        <color indexed="8"/>
        <rFont val="Times New Roman"/>
        <family val="1"/>
      </rPr>
      <t>vienas nodarbības izmaksas/             cena</t>
    </r>
  </si>
  <si>
    <r>
      <rPr>
        <b/>
        <sz val="12"/>
        <color indexed="8"/>
        <rFont val="Times New Roman"/>
        <family val="1"/>
      </rPr>
      <t>Specializēto atbalsta grupu</t>
    </r>
    <r>
      <rPr>
        <sz val="12"/>
        <color indexed="8"/>
        <rFont val="Times New Roman"/>
        <family val="1"/>
      </rPr>
      <t xml:space="preserve"> vienas nodarbības izmaksas/             cena</t>
    </r>
  </si>
  <si>
    <t>PR pakalpojuma ietvaros 40 radošo darbīcu grupu nodarbības un 24 vispārīgo grupu nodarbības tiks organizētas ārpus Rīgas. Atbalsta grupu vadītājiem plānots segt degvielas izdevumus, kas radīsies nokļūstot uz atbalsta grupu nodarbību un atgriežoties no tās. Atbalsta grupu nodarbības vada divi atbalsta grupu vadītāji un radošo darbnīcu nodarbības vada trīs profesionāļi. Tiek pieņemts, ka uz nodarbībām visi grupu vadītāji ierodas ar vienu autotransportu.</t>
  </si>
  <si>
    <t>Telpu īre  klātienes grupu nodarbībām  ārpus Rīgas *</t>
  </si>
  <si>
    <t>Ceļa izdevumi atbalsta grupu vadītājiem**</t>
  </si>
  <si>
    <t>Transporta izmaksas**</t>
  </si>
  <si>
    <r>
      <rPr>
        <b/>
        <sz val="12"/>
        <color indexed="8"/>
        <rFont val="Times New Roman"/>
        <family val="1"/>
      </rPr>
      <t xml:space="preserve">Vispārīgo atbalsta grupu </t>
    </r>
    <r>
      <rPr>
        <sz val="12"/>
        <color indexed="8"/>
        <rFont val="Times New Roman"/>
        <family val="1"/>
      </rPr>
      <t>vienas nodarbības izmaksas/cena</t>
    </r>
  </si>
  <si>
    <t>Klātiene</t>
  </si>
  <si>
    <r>
      <rPr>
        <b/>
        <sz val="12"/>
        <color indexed="8"/>
        <rFont val="Times New Roman"/>
        <family val="1"/>
      </rPr>
      <t>Specializēto atbalsta grupu</t>
    </r>
    <r>
      <rPr>
        <sz val="12"/>
        <color indexed="8"/>
        <rFont val="Times New Roman"/>
        <family val="1"/>
      </rPr>
      <t xml:space="preserve"> vienas nodarbības izmaksas/cena</t>
    </r>
  </si>
  <si>
    <r>
      <rPr>
        <b/>
        <sz val="12"/>
        <color indexed="8"/>
        <rFont val="Times New Roman"/>
        <family val="1"/>
      </rPr>
      <t>Radošo darbnīcu</t>
    </r>
    <r>
      <rPr>
        <sz val="12"/>
        <color indexed="8"/>
        <rFont val="Times New Roman"/>
        <family val="1"/>
      </rPr>
      <t xml:space="preserve"> vienas nodarbības izmaksas/cena</t>
    </r>
  </si>
  <si>
    <t>Izmaksas, kas attiecināmas uz visu veidu nodarbībām</t>
  </si>
  <si>
    <t>Attālināti</t>
  </si>
  <si>
    <t>Izmaksas, kas attiecināmas uz nodarbībām, kas tiks nodrošinātas klātienē</t>
  </si>
  <si>
    <r>
      <rPr>
        <b/>
        <sz val="12"/>
        <color indexed="8"/>
        <rFont val="Times New Roman"/>
        <family val="1"/>
      </rPr>
      <t>Priekšizpētes grupu</t>
    </r>
    <r>
      <rPr>
        <sz val="12"/>
        <color indexed="8"/>
        <rFont val="Times New Roman"/>
        <family val="1"/>
      </rPr>
      <t xml:space="preserve"> vienas nodarbības izmaksas/cena</t>
    </r>
  </si>
  <si>
    <r>
      <t xml:space="preserve">Bērnu pieskatītājs speciālajās grupu nodarbībās </t>
    </r>
    <r>
      <rPr>
        <b/>
        <sz val="12"/>
        <rFont val="Times New Roman"/>
        <family val="1"/>
      </rPr>
      <t>bērniem</t>
    </r>
    <r>
      <rPr>
        <sz val="12"/>
        <rFont val="Times New Roman"/>
        <family val="1"/>
      </rPr>
      <t>***</t>
    </r>
  </si>
  <si>
    <r>
      <t xml:space="preserve">Bērnu pieskatītājs specialajās grupu nodarbībās </t>
    </r>
    <r>
      <rPr>
        <b/>
        <sz val="12"/>
        <rFont val="Times New Roman"/>
        <family val="1"/>
      </rPr>
      <t>vecākiem</t>
    </r>
    <r>
      <rPr>
        <sz val="12"/>
        <rFont val="Times New Roman"/>
        <family val="1"/>
      </rPr>
      <t>***</t>
    </r>
  </si>
  <si>
    <t>Administrēšanas izmaksas</t>
  </si>
  <si>
    <t>Kopā****</t>
  </si>
  <si>
    <t xml:space="preserve">PR pakalpojuma katra veida attālinātās un klātienes nodarbības izmaksu/cenas aprēķins izmēģinājumprojektam </t>
  </si>
  <si>
    <t>8. pielikums</t>
  </si>
  <si>
    <t>Vispārīgā atbalsta grupa klātienē</t>
  </si>
  <si>
    <t>Vispārīgā atbalsta grupa attālināti</t>
  </si>
  <si>
    <t>Specializētā atbalsta grupa attālināti</t>
  </si>
  <si>
    <t>Radošās darbnīcas klātienē</t>
  </si>
  <si>
    <t>Priekšizpētes grupas attālināti</t>
  </si>
  <si>
    <t>Klātienes nodarbībām</t>
  </si>
  <si>
    <t>Neklātienes nodarbībām</t>
  </si>
  <si>
    <t>9.pielikums</t>
  </si>
  <si>
    <t>1. nodevums 
Sākotnējais ziņojums “Psihosociālās rehabilitācijas pakalpojuma 
bērniem ar funkcionāliem traucējumiem un 
viņu likumiskajiem pārstāvjiem vai audžuģimenei apraksts”</t>
  </si>
  <si>
    <t>*PR pakalpojuma vadītāja, koordinatora un sociālā darbinieka detalizēts vienas grupu nodarbības izmaksu/cenas aprēkins 8.2.pielikumā.</t>
  </si>
  <si>
    <t>Ar PR pakalpojuma  prasību nodrošināšanu saistītās izmaksas*****</t>
  </si>
  <si>
    <t>Ar PR pakalpojuma  prasību nodrošināšanu saistītās izmaksas</t>
  </si>
  <si>
    <t>LMT</t>
  </si>
  <si>
    <t xml:space="preserve">Kompensējamās degvielas aprēķins ir nobrauktais attālums reizināts degvielas patēriņu uz 100 km un reizināts ar degvielas cenu. Lai veiktu aprēķinu, tiek izdarīti šādi pieņēmumi. Autotransporta vidējais degvielas patēriņš ir 10 litri uz 100 km. Autotransports izmanto dārgāko degvielu t.i. dīzeļdegvielu, kuras vidējā cena ir 1.811 euro litrā. Tā kā  attālums līdz nodarbības vietai ir atkarīgs no tā, kā sakomplektēs atbalsta grupas, t.i. kura vieta (pilsēta) būs piemērotākā nodarbību norisei, tad, lai aprēķinātu ceļa izdevumus, tiek pieņemts, ka vidējais nobraucamais attālums būs puse no garākā iespējamā brauciena. Pēc attāluma tālākā pilsēta, kurā varētu komplektēt atbalsta grupu ir Daugavpilij (attālums no Rīgas līdz Daugavpilija ir 230 km, turp un atpakaļ brauciens ir 480 km (230 km x 2 virzieni). Vidējais nobraucamais attālums būs 240 km (490 km / 2). Ceļa izdevumi ir 43.46 euro, (240 km x 10litri/100 km x 1.811 euro/litrs). </t>
  </si>
  <si>
    <t>Tirgū cenas dažādās nozarēs var būtiski atšķirties. Tirgus specifisks, pakalpojumu sniedz šaurs loks sertificētu ekspertu. Līdz ar to izmaksām piemērota maksimālā noskaidrotā cena. Grupas supervīzijas plānots organizēt 8 mēnešus, laiks, kad faktiski atbalsta grupu vadītāji uzsāk vadīt atbalsta grupu nodarbības. Pakalpojumam izvēlēta lielākā cena.
Papildus grupas supervīzijām atbalsta grupu vadītāji katrs var palūgt individuālo supervīziju, bet ne vairāk kā divas izmēģinājumprojekta laikā. Tā kā supervīzijas nodrošina 20 atbalsta grupu vadītājiem, kuri vadīs atbalsta grupas, tad izmaksās ietveramas 40 individuālās supervīzijas. Vienas individuālās supervīzijas cena ir 45 euro un tā ilgst 1 stundu. Izmaksās papildus ietverts 1800 euro (40 individuālās supervīzijas x 45 individuālās supervīzijas cena).</t>
  </si>
  <si>
    <t>LAA savā darbībā bieži ir izmantojusi mācību centra "Atbalsts" pakalpojumus un pārliecinājusies, ka minētajam pakalpojuma sniedzējam ir pieredze specifisku tekstu tulkošanā, kas saistīta ar mērķa grupu. Līdz ar to izmēģinājumprojektā tiks izmantoti šī pakalpojuma sniedzēja pakalpojumi.</t>
  </si>
  <si>
    <t>Pakalpojuma sniedzējam Tipografija.lv ir plašāks piedāvātais sortiments un iespēja izvēlēties dažādus bukletu variantus, līdz ar to ir izvēlēta minētā pakalpojuma cena.</t>
  </si>
  <si>
    <t>Pakalpojuma izmaksu aprēķinam izvēlēta vidējā aritmētiskā cena autobusu biļetēm turp un atpakaļ, t.i. 17.35 euro. Pēc piesardzības principa tiek pieņemts, ka ceļa izdevumu kompensācija būs nepieciešama no Rīgas tālāk esošajām pilsētām.</t>
  </si>
  <si>
    <t>Izlietotais finansējums</t>
  </si>
  <si>
    <t>Viena grupu nodarbība</t>
  </si>
  <si>
    <t>Atbalsta grupu vadītāju apmācību nodrošināšana</t>
  </si>
  <si>
    <t>Viens apmācību dalībnieks</t>
  </si>
  <si>
    <t>Vienas vienības izmaksas/cena</t>
  </si>
  <si>
    <t>PR pakalpojuma nodrošināšana</t>
  </si>
  <si>
    <t xml:space="preserve">
Aprēķins - 
1) 250 lapas x 12 euro/lapa = 3000 euro 
2) 250 lapas x 22.99 euro/lapa = 5747.50 euro 
3)3000 euro + 5747.50 euro = 8747.50 euro; 
4) 8747.50 euro/ 6 mēnešiem = 1457.92 euro mēnesī.</t>
  </si>
  <si>
    <t>Izmaksās plānota viena banera pastāvīga izvietošana ar vidējo dienas maksu 15 euro dienā ar pieņēmumu, ka projekta laikā tie būs dažādu tematiku baneri ik mēnesi.</t>
  </si>
  <si>
    <t>Telpu īres ilgums vienai nodarbībai ir 3 stundas (1 stundas sagatavošanās, kafijas pauzes + apmācību laiku 2 stundas). 
1) telpu īres ilgums vienai apmācību grupai jeb 4 nodarbībām ir 12 stundas. 
2) Ja pieņem, ka telpu izmaksas dala uz darba stundām - 168h (vidēji mēnesī), tad vienas stundas noma būs 7,63 eur (1280.66 euro īre mēnesē/ 168 darba stundām mēnesī). 
3) Kopējās telpu īres izmaksas vienai apmācību grupai būs 91.56 euro (12 stundas x 7.63 eur/h īres maksa). (Pārbaudei: telpu īres noslodze apmācībām mēnesī 7.14% (12 stundas x 100/168 stundas) un uz mācībām attiecināmā mēneša īres maksa ir 91.44 eur (7.14% x 1280.66 euro). Noapaļošanas starpība 0.12). 
4) telpu īres maksa uz vienu dalībnieku būs 7.043 (91.56 euro / 13 apmācāmie).</t>
  </si>
  <si>
    <t xml:space="preserve">LAA juridiskās adreses telpas ir 176 m2 lielas un  īri mēnesī  iznaksā 1280.66 euro. Tiek pieņemts, ka telpas izmēģinājumprojekta vajadzībām un Autisma biedrības vajadzībām tiks izmantotas puse uz pusi, tādējādi sedzot pusi no īres maksas -1280.66euro/2 = 640.33 euro, ko veido 
1) telpu īre vispārīgo atbalsta un radošo darbnīcu grupu nodarbībām 185.7 euro; 
2) PR pakalpojuma ieviešanas nodrošināšanai 454.63 euro. 
Papildus tam LAA telpas tiks izmantotas atbalsta grupu vadītāju - pieredzes ekspertu apmācībai. </t>
  </si>
  <si>
    <t>10802.88 euro / 12 mēneši = 1800.48 euro mēnesī</t>
  </si>
  <si>
    <t>Pieredzes ekspertu apmācības ietver 3 nodarbības, katra no tām ilgst 2 stundas. 
1) Vienas nodarbības cena ir 363 euro (300 euro atlīdzība + 63 euro PVN).  Apmācībām izvēlētais pakalpojuma sniedzējs ir "Runas Rāmis",  ar kuru LAA ir izveidojusies laba sadarbība citos pasākumos. Pasniedzēja būs sertificēts supervizors ar maģistra grādu vadības psiholoģijā. Ņemot vērā, ka apmācāmie eksperti būs pieaugušie ar AST, kvalifikācija psiholoģijas jomā bija viens no noteicošajiem faktoriem pakalpojuma sniedzēja izvēlē. 
2) Vienas apmācāmās grupas pieredzes ekspertu vietējā speciālista izmaksas ir 1452 euro (363 euro x 4 nodarbības). 
3) Kopējās apmācāmās grupas pieredzes ekspertu vietējā speciālista izmaksas ir 4356 euro (1452 euro x 3 apmācāmās grupas). 
4) Vietējā speciālista izmaksas uz vienu apmācāmo pieredzes ekspertu ir 335.08 euro (4356 euro dalīts ar 13 apmācāmajiem pieredzes ekspertiem).</t>
  </si>
  <si>
    <t>Darba dienas atv.laikā</t>
  </si>
  <si>
    <t>Pēdējo 6 mēn vidējais</t>
  </si>
  <si>
    <t>Dienas</t>
  </si>
  <si>
    <t>Mēn (sākot ar oktobri 2022)</t>
  </si>
  <si>
    <t>Profesionālis - vietējais speciālists atlīdzība</t>
  </si>
  <si>
    <t>Izmitināšana, ēdināšana un telpu noma pasākumam (uz vienu personu)</t>
  </si>
  <si>
    <t>Viesu nams "Saules villa", Tukums</t>
  </si>
  <si>
    <t>Viesu nams "Mauriņi", Sigulda</t>
  </si>
  <si>
    <t>Viesu nams "Brūveri", Sigulda</t>
  </si>
  <si>
    <t>Salīdzināts viesu nama piedāvājums uz vienu personu, kas ietver  izmitināšanu divām naktīm, trīsreizēju ēdināšanu un semināra telpu.</t>
  </si>
  <si>
    <t>No Rīgas tiks organizēts transports nokļūšanai uz viesu namu Tumumā (maksimāli 16-20 cilvēki). Pieņemts, ka ne visi izmantos un tie dalībn</t>
  </si>
  <si>
    <t>Dalībnieku izmitināšana, ēdināšana un telpu noma pasākumam</t>
  </si>
  <si>
    <t xml:space="preserve">Apmācību nodarbības ir plānotas klātienē, tā kā:
1) apmācību vadītāji dzīvo Somijā uz apmācību laiku, viņiem vajag nodrošināt izmitināšanu vietā, kur tiks organizētas apmācību nodarbības.
2) daļa apmācāmo līdzinieku dzīvo dažādos Latvijas reģionos un noklūšana līdz apmācību vietai var būt ilgstoša. Dalībnieku izmitināšana vietā, kur tiks organizētas apmācību nodarbības, nodrošinātu visu dalībnieku piedalīšanos mācībās, kā arī papildus veicinās dalībnieku un organizētāju iepazīšanos. 
</t>
  </si>
  <si>
    <t>Somu speciālistu konsultācijas atbalsta grupu vadītājiem - profesionāļiem (vietējiem speciālistiem)</t>
  </si>
  <si>
    <t>Profesionāļa - somu speciālista atlīdzība ir 3724 euro un viena līdzinieka apmācību izmaksas ir 600 euro (3724 euro atlīdzība somu speciālistiem /20 apmācāmie līdzinieki = 186.2 euro). Atlīdzība ietvert 3 apmācību nodarbības klātienē, katra no tām ilgst 6 stundas, un vienu nodarbību attālināti (ilgst 3 stundas). Apmācību vada divi profesionāļi - somu speciālisti. Vienā līdzinieku apmācību grupā plānots apmācīt 20 atbalsta grupu vadītājus - līdziniekus.</t>
  </si>
  <si>
    <t>Tarifs ar bezlimita sarunām un bezlimita internetu.</t>
  </si>
  <si>
    <t>Tulks priekšizpētes atbalsta grupām</t>
  </si>
  <si>
    <t xml:space="preserve">Izvēlētais pakalpojuma sniedzējs ir mācību centrs ATBALSTS, ar kuru LAA ir izveidojusies laba sadarbība (tulkam ir pieredze līdzīga satura pasākumos un pakalpojuma sniedzējs pārzin AST jomas specifiku). Stundas likme lekcijas tulkošanai ir 24 euro.   </t>
  </si>
  <si>
    <t>Izmaksas radošo darbnīcu nodarbībām muzejos</t>
  </si>
  <si>
    <t>Latvijas Nacionālais māksas muzejs</t>
  </si>
  <si>
    <t>Bauskas pils</t>
  </si>
  <si>
    <t>Brīvdabas muzejs</t>
  </si>
  <si>
    <t>Motormuzejs</t>
  </si>
  <si>
    <t>Kinomuzejs</t>
  </si>
  <si>
    <t>Salīdzinātas pakalpojumu cenas, ietverot, muzeja biļetes cenu bērnam un pavadošajam pieaugušajam. Izvēlēti populārākie muzeji.</t>
  </si>
  <si>
    <t>Mākslas muzejs "Rīgas birža"</t>
  </si>
  <si>
    <t>Mākslas muzejs "Rīgas birža" (nodarbību telpa "Mazā skola")</t>
  </si>
  <si>
    <t>Latvijas Nacionālais mākslas muzejs (nodarbību telpa)</t>
  </si>
  <si>
    <t>Izmaksas radošo darbnīcu nodarbībām muzejos - ieejas biļetes</t>
  </si>
  <si>
    <t>Izmaksas radošo darbnīcu nodarbībām muzejos - telpu noma</t>
  </si>
  <si>
    <t>Salīdzināta telpu īres maksa 1 stunda</t>
  </si>
  <si>
    <t xml:space="preserve"> Šobrīd nav zināmi, kuros muzejos tiks rīkotas nodarbības nodarbības (izņemot Latvijas Nacionālo mākslas muzeju), tādēļ izmaksu aprēķinam izvēlēta vidējā aritmētiskā vērtība.</t>
  </si>
  <si>
    <t>Šobrīd nav konkrēti sarunātu telpu, tādēļ izmaksu aprēķinam izvēlēta vidējā aritmētiskā cena no piedāvājuma.</t>
  </si>
  <si>
    <t xml:space="preserve">Lai veicinātu radošo darbnīcu efektivitāti, palielinot bērniem iespējas darboties ne tikai noteiktās telpās, bet arī ārpus tām, apgūstot dažādas vides, tiek plānots daļu no radošajām darbnīcām organizēt muzejos, piemēram, Latvijas Nacionālajā mākslas muzejā. Šāda iniciatīva saistīta ar divu veidu izmaksām: 1) ieejas biļete muzejā bērnam un pavadošajam vecākam, 2) telpu noma radošai darbnīcai. </t>
  </si>
  <si>
    <t>Telpu īre klātienes grupu nodarbībām, kas notiks Rīgā, LAA telpās*</t>
  </si>
  <si>
    <t>Telpu īre klātienes grupu nodarbībām, kas notiks Rīgā, muzeju telpās*</t>
  </si>
  <si>
    <t>Telpu īre klātienes grupu nodarbībām, kas notiks Rīgā, LAA telpās</t>
  </si>
  <si>
    <t>1) Muzeja telpu īre vienai nodarbībai: 32.1 euro/stundā x 6 stundas = 192.6 euros
2) 6 nodarbības x 192.6 = 1155.6 euro</t>
  </si>
  <si>
    <t>Izmaksas, kas attiecināmas uz priekšizpētes nodarbībām</t>
  </si>
  <si>
    <t>Pakalpojumam izvēlēts viesu nams "Mauriņi". Tiek plānots, ka mācības tiek organizētas trīs dienas, pasniedzējiem, apmācāmiem līdziniekiem, tulkam, PR pakalpojuma vadītājam, PR pakalpojuma koordinatoram un LAA vadītājam paliekot uz vietas 2 naktis.</t>
  </si>
  <si>
    <t>Jelgavas pilds (Sudraba zāle)</t>
  </si>
  <si>
    <t>Projekta laikā plānota trīs klātienes tikšanās LAA telpās atbalsta grupu vadītājiem - profesionāļiem (vietējie speciālisti) ar profesionāļiem somu speicālistiem, kuras laikā tiek pārrunāta Somijas pieredze atbalsta grupu vadīšanā, t.sk. svarīgi jautājumi, kuri vietējiem speciālistiem ir jāņem vērā organizējot un vadot šādas atbalsta grupas.</t>
  </si>
  <si>
    <t>PR.pak.vad</t>
  </si>
  <si>
    <t>PR.koord</t>
  </si>
  <si>
    <t>Soc.darb</t>
  </si>
  <si>
    <t>Feb-Okt</t>
  </si>
  <si>
    <t>Nov-Dec</t>
  </si>
  <si>
    <t>Telpu īre klātienes radošo grupu nodarbībām, kas notiks Rīgā, muzeju telpās</t>
  </si>
  <si>
    <t xml:space="preserve">Veicot tirgus izpēti tika skatītas telpu īres maksas dažādos Latvijas plānošanas reģionos (detalizētu vidējās cenas aprēķinu skatīt 8.5. pielikumā). Vidēji telpu īres maksa ir 16 euro/h par telpu (aptuveni 50 m2). Vienā nodarbībā nepieviešamas 2 telpas (nodarbībai un bērnu pieskatīšanai). Telpu īres maksa 32 euro/h (2 telpas x 16 euro/h). 
</t>
  </si>
  <si>
    <t>Veicot tirgus izpēti aptaujāti speciālisti, kuri sniedz supervīzijas  pakalpojumu sociālajā jomā (skat. 8.5. pielikumu), noskaidrotā supervīziju izmaksa vienai grupai ir 160 euro un individuālajai supervīzijai 45 euro. Supervīzijas ir attiecināmas uz 80 atbalsta grupām, kuras vada līdzinieki un/vai eksperti. Vienā grupā ir līdz 6 cilvēkiem. 20 atbalsta grupu vadītāji līdzinieki ir iesaistīti atbalsta grupu vadīšanā, līdz ar to mēnesī veidojamas 3-4 supervīziju grupas. Atbalsta grupu vadītāji atbalsta grupas uzsāk vadīt 2023. gada martā, pirmā supervīzijas atbalsta grupa ir organizējama 2023. gada aprīlī, pēdējā - 2023. gada augustā (5 mēneši)</t>
  </si>
  <si>
    <t>Izmaksas vienai supervīzijas grupas nodarbībai - 
1) 4 grupas supervīzijas mēnesī x 5 mēneši = 20 grupas supervīzijas x 160 euro = 3200 euro 
2) individuālās supervīzijas 1800 euro = 20 atbalsta grupu vadītāji x 2 individuālās supervīzijas x 45 euro (vienas supervīzijas cena)
3) kopējās supervīziju izmaksas uz vienu grupu nodarbību = 5000 euro kopējās supervīziju izmaksas (3200+1800 euro) /80 grupu nodarbības = 62.5 euro. Pārbaude: 62.5 x 80 = 5000. Starpība noapaļojot 0.</t>
  </si>
  <si>
    <t>PR pakalpojuma koordinators 1</t>
  </si>
  <si>
    <t>PR pakalpojuma koordinators 2***</t>
  </si>
  <si>
    <t>*** Izmaiņas PR pakalpojuma nodrošinātāju atlīdzībā no 2023. gada 15. marta</t>
  </si>
  <si>
    <t>No 2023. gada 15. marta mainās PR pakalpojuma nodrošināšanā iesaistīto darbinieku noslodze un skaits. Papildus tiek nodarbināts jauns PR pakalpojuma koordinators uz 0.7 slodzi un vienlaicīgi tiek samazinātas slodzes esošajam PR pakalpojuma koordinatoram (no 1 slodzes uz 0.6 slodzi) un sociālajam darbiniekam (no 1 slodzes uz 0.7 slodzi).</t>
  </si>
  <si>
    <t>PR pakalpojuma vadītājam un koordinatoriem</t>
  </si>
  <si>
    <t>Kopumā muzejos plānots organizēt 22 radošo darbnīcu nodarbības, no tām 6 nodarbības Rīgā un 16 nodarbības ārpus Rīgas. Nodarbība ietver dalības maksu ieejas biļetes apmērā, kas vidēji vienai grupas nodarbībai ir 129.47 euro. Šobrīd nav zināmi konkrēti muzeji, kuros tiks organizētas radošās darbnīcas, izņemot Latvijas Nacionālo Mākslas muzeju, tādēļ izmaksas ir balstītas uz dažādu muzeju vidējo tirgus cenu ieejas biļetēm. Izmaksu aprēķinu un tirgus cenu pētījumu skatīt. 8.5. pielikumā.</t>
  </si>
  <si>
    <t>129.47 euro x 22 nodarbības = 2848.27 euro.</t>
  </si>
  <si>
    <t>PR pakalpojuma ietvaros 40 radošo darbīcu grupu nodarbības un 60 vispārīgo grupu nodarbības tiks organizētas ārpus Rīgas. Tiks nomāts mikro autobuss, lai nogādātu dalībniekus no dzīvesvietas (vai vietas, kas iespējami tuvāk dzīvesvietai) līdz nodarbības norises vietai. Pieņemts, ka viens autobuss vienas nodarbības nodrošināšanas ietvaros nobrauks 100 km un tiks izmantoti viens vai divi autobusi (ar 8 vietām), lai bērni uz PR pakalpojumu tiktu nogādāti pēc iespējas ātrāk.</t>
  </si>
  <si>
    <t xml:space="preserve">64 radošo darbnīcu grupu nodarbības (nodarbības ilgums 5 h). Tiek plānots, ka bērns radošās darbnīcu grupu nodarbībās piedalās pēc savām iespējām un vienas nodarbības ietvaros iesākto darbu tupina nākamajā. </t>
  </si>
  <si>
    <t>Radošo darbnīcu materiāli ietver krāsas, papīru,  plastilīnu, līmi, šķēres, zīmuļus, flomasterus utml.   Radošo darbnīcu temats un nodarbības veids tiek noteikts pēc bērnu iespējām un interesēm. Nepieciešamo materiālu daudzums nodarbībās atšķiras, izmaksu apmērs noteikts, ņemot vērā praktisko pieredzi jau notikušajās radošajās darbnīcās.</t>
  </si>
  <si>
    <t>8.7. pielikums</t>
  </si>
  <si>
    <t>8.8 pielikums</t>
  </si>
  <si>
    <t>** Transporta izmaksas un ceļa izdevumi atbalsta grupu vadītājiem tiek segti tikai nodarbībām ārpus Rīgas. Lai aprēķinātu vienas nodarbības izmaksu, izmaksa piemērota proporcionāli.
Aprēķins vispārīgām atbalsta grupām: 
1) no 80 klātienes nodarbībām, 20 nodarbības ir Rīgā, t.i. 25% (20/80x100) un 60 nodarbības ir ārpus Rīgas, t.i. 75% (60/80x100) 
2) 139.56 euro transporta izmaksas x 75% = 104.67 euro 
3) 43.46 euro ceļa izdevumi x 75% = 32.6 euro 
Pārbaude: 
1) 139.56 euro x 60 nodarbības + 43.46 euro  x 60 nodarbības = 8373.6+2607.6 = 10981.2 euro  10981.2/80 nodarbības = 137.274 euro un  2) 104.67 euro + 32.6 euro = 137.27 euro
 Aprēķins radošajām darbnīcām: 
1) no 64 klātienes nodarbībām, 24 nodarbības ir Rīgā, t.i. 37.5% (24/64x100) un 40 nodarbības ir ārpus Rīgas, t.i. 62.5% (40/64x100). 
2) 139.56 euro transporta izmaksas x 62.5% =  87.23 euro 
3) 43.46 euro ceļa izdevumi x 62.5% = 27.16 euro.
Pārbaude:
1) 139.56 euro x 40 nodarbības + 43.46 x 40 nodarbības = 7320.8 euro 7320.8/64 = 114.39 euro un 2) 27.16+87.23 = 114.39 euro</t>
  </si>
  <si>
    <t>* Telpu īre klātienes nodarbībām sadalās nodarbībās, kas notiks Rīgā, un nodarbībām ārpus Rīgas. Lai aprēķinātu vienas nodarbības izmaksu, piemērota vidējā izmaksa, tepu īres izmaksu uz vienu nodarbību proporcionāli sadalot starp Rīga un ārpus Rīgas nodarbībām.  
Aprēķins vispārīgām atbalsta grupām: 
1) no 80 klātienes nodarbībām, 20 nodarbības ir Rīgā, t.i. 25% (20/80x100) un 60 nodarbības ir ārpus Rīgas, t.i. 75% (60/80x100). 
2) 32.35 euro x 25% = 8.09 euro  
3) 96 euro x 75% = 72 euro 4) 8.09 + 72 = 80.09 euro
Pārbaude: 
1) 20  nodarbības x 32.35 euro + 60 nodarbības x 96 euro = 647 + 5760 euro = 6407 euro
2) 6407 euro / 80 nodarbības = 80.09 euro.
Aprēķins radošajām darbnīcām: 
1) no 64 klātienes nodarbībām, 18 nodarbības ir Rīgā LAA telpās, t.i. 28% (18/64x100), 6 nodarbības ir Rīgā muzejos, t.i. 9% (6/64x100) un 40 nodarbības ir ārpus Rīgas, t.i. 62.5% (40/64x100). 
2) 32.35 euro x 28% = 9.06 euro 3) 192.6 euro x 9% = 18.10 euro 4) 192 x 62.5%=120 euro Kopējā vidējā izmaksa uz vienu klātienes nodarbību ir 147.16 euro. 
Pārbaude: 
1) 18 nodarbības x 32.35 euro + 6 nodarbības x 192,6 + 40 nodarbības x 192 euro = 9417.9 euro 
2) 9417.9 euro / 64 nodarbības = 147.16</t>
  </si>
  <si>
    <t xml:space="preserve">*** Salīdzinot šīs vienas nodarbības izmaksas ar 8.1. pielikumu, ir jāņem vērā, ka nesakritības skaitļos veido fakts, ka 8.1. pielikumā ir vidējās izmaksas visu veidu nodarbībām (gan klātienes, gan neklātienes), savukārt šajā pielikumā izmaksas ir izdalītas. </t>
  </si>
  <si>
    <r>
      <t>PR pakalpojuma nodrošināšanā visiem PR pakalpojuma veidiem piedalās PR pakalpojuma vadītājs un koordinatori, bet sociālais darbinieks piedalās trīs PR pakalpojumu veidu nodrošināšanā. Kopā izmēģinājumprojekta ietvaros PR pakalpojuma vadītājam un koordinator</t>
    </r>
    <r>
      <rPr>
        <sz val="12"/>
        <rFont val="Times New Roman"/>
        <family val="1"/>
      </rPr>
      <t>iem plānots noorganizēt</t>
    </r>
    <r>
      <rPr>
        <sz val="12"/>
        <color indexed="8"/>
        <rFont val="Times New Roman"/>
        <family val="1"/>
      </rPr>
      <t xml:space="preserve"> </t>
    </r>
    <r>
      <rPr>
        <sz val="12"/>
        <rFont val="Times New Roman"/>
        <family val="1"/>
      </rPr>
      <t>225 grupu nodarbība</t>
    </r>
    <r>
      <rPr>
        <sz val="12"/>
        <color indexed="8"/>
        <rFont val="Times New Roman"/>
        <family val="1"/>
      </rPr>
      <t xml:space="preserve">s, attiecīgi, sociālajam darbiniekam </t>
    </r>
    <r>
      <rPr>
        <sz val="12"/>
        <rFont val="Times New Roman"/>
        <family val="1"/>
      </rPr>
      <t>– 224 grupu no</t>
    </r>
    <r>
      <rPr>
        <sz val="12"/>
        <color indexed="8"/>
        <rFont val="Times New Roman"/>
        <family val="1"/>
      </rPr>
      <t>darbības. Atlīdzība minētajiem speciālistiem tiek aprēķināta uz vienu grupu nodarbību. Katram PR pakalpojuma veidam tiek noteikts grupu nodarbību skaita procents no kopējā grupu nodarbību skaita, piemēram, Vispārīgā atbalsta grupa - 36% (</t>
    </r>
    <r>
      <rPr>
        <sz val="12"/>
        <rFont val="Times New Roman"/>
        <family val="1"/>
      </rPr>
      <t>80 grupu nodarbības no 225</t>
    </r>
    <r>
      <rPr>
        <sz val="12"/>
        <color indexed="8"/>
        <rFont val="Times New Roman"/>
        <family val="1"/>
      </rPr>
      <t xml:space="preserve"> grupu nodarbībām = 35.6 % ). Tā kā šie speciālisti nodrošina PR pakalpojuma saņemšanu, tad šis procentuālais sadalījums tiek attiecināts pret konkrētā speciālista atlīdzību konkrētam PR pakalpojuma veidam.</t>
    </r>
  </si>
  <si>
    <t>***** Ar PR pakalpojuma prasību nodrošināšanu un uzturēšanu saistīto izmaksu detalizēts vienas grupu nodarbības izmaksu/cenas aprēkins 8.3.; 8.4. un 8.5. pielikumā.</t>
  </si>
  <si>
    <t xml:space="preserve">Kopā 12 mēnešo plānots novadīt 225 nodarbības. Aprēķins - 
1) 30 euro/mēn. X 12 mēneši = 360 euro; 
2) 360 euro / 225 nodarbības = 1.60 euro/nodarbība. 
Pārbaude - 1.60 euro x 225 nodarbības = 360 euro. </t>
  </si>
  <si>
    <t xml:space="preserve">LAA savā darbībā izmanto Tele 2 pakalpojumus un ir pārliecinājusies par pakalpojuma sniedzēja sniegtā sakaru pakalpojumu labo kvalitāti, tādēļ arī izmēģinājumprojekta ietvaros tiks izmantots šis pakalpojuma sniedzējs. Tā kā LAA ir sadarbība ar Tele2, tad bezlimita pieslēgumiem ir piedāvāta zemāka cena, kā tirgū piedāvātā, vienam bezlimita pieslēgumam (PR pakalpojuma vadītājs) 14.52 euro un otram bezlimita pieslēgumam (PR pakalpojuma koordinators) 8.71 euro (pēdējā pieslēguma lietotājs ir ilgstošs Tele2 klients). Sociālajam darbiniekam piedāvāts pieslēgums ar mazāku pieejamo interneta apjomu par 6.05 euro (atšķirībā no PR pakalpojuma vadītāja un PR pakalpojuma koordinatora sociālais darbinieks ar vecākiem komunikāciju lielākoties veic telefonsarunu veidā). </t>
  </si>
  <si>
    <t xml:space="preserve">Veikta tirgus izpēte, detalizētu aprēķinu skatīt. 8.5. pielikuma tabulā. </t>
  </si>
  <si>
    <t>Tiek paredzēti bezlimita sarunu un interneta pieslēgumi PR pakalpojuma vadītājam, PR pakalpojuma koordinatoram un sociālajam darbiniekam. Brīvi pieejams internets jebkurā Latvijas reģionā un neierobežotas sarunas ir nepieciešamas PR pakalpojuma nodrošināšanai.</t>
  </si>
  <si>
    <t>Pārņemot Somijas pieredzi, ir daudz noderīgu materiālu, kuru izvietošana LAA mājas lapas sadaļā paplašinās cilvēku vēlmi iesaistīties atbalsta grupās un runāt par šo tēmu.Iedzīvinot PR pakalpojumu ir svarīgi, lai cilvēki par to būtu informēti, tāpēc nepieciešams izplatīt informāciju par autismu un iespēju piedalīties atbalsta grupās.</t>
  </si>
  <si>
    <t xml:space="preserve">102.45 euro/mēnesī x 12 mēneši = 1229.40 euro; 2) 1229.40 euro / 38 nodarbības = 32.35 euro </t>
  </si>
  <si>
    <r>
      <t>Klātienē</t>
    </r>
    <r>
      <rPr>
        <u val="single"/>
        <sz val="12"/>
        <rFont val="Times New Roman"/>
        <family val="1"/>
      </rPr>
      <t xml:space="preserve"> Rīgā, LAA telpās </t>
    </r>
    <r>
      <rPr>
        <sz val="12"/>
        <rFont val="Times New Roman"/>
        <family val="1"/>
      </rPr>
      <t>notiks 38  grupu nodarbības  - 
1) 20 vispārīgās grupu nodarbības (3 stundas = 2 stundas ilgs grupu nodarbība + 1 stunda telpu sagatavošana pirms un pēc nodarbības); 
2) 18 radošo darbnīcu nodarbības (6 stundas = 5 stundas ilgs nodarbība un 1 stunda telpu sagatošana pirms un pēc nodarbības). 18 nodarbības x 6 stundas = 108 stundas; 
3) 20 nodarbības x 3 stundas = 60 stundas un 18 nodarbības x 6 stundas = 108 stundas; 
4) kopā 168 stundas nodarbībām, vidēji mēnesī 168 h/12 mēneši = 14 h/mēnesī. Ja pieņem, ka telpu izmaksas dala uz darba stundām - 168h (vidēji mēnesī), tad  telpas tiks izmantotas vidēji mēnesī  8 % (13.5 h x100/168 h= 8 %)  no visa darba laika; 5) 8 % no 1280.66 euro  = 102.45 euro /mēnesī (1280.66 euro x 8/100).
5) 102.45 x 12 mēn = 1229.4 euro
6) 1229.4/36 = 34.15. Pārbaude 34.15 x 36 = 1229.40. Noapaļošanas starpība 0.</t>
    </r>
  </si>
  <si>
    <t>LAA juridiskās adreses telpas ir 176 m2 lielas un  īri mēnesī  iznaksā 1280.66 euro. Faktiski šīs telpas tiek dalītas ar SIA "Outloud" un LAA sedzama ir tikai puse no īres maksas, t.i. 640.33 euro. Tiek pieņemts, ka uz projeka laiku LAA telpu daļa tiek izmantota pilnībā, sedzot īres maksu 640.33 euro, ko veido 
1) telpu īre vispārīgo atbalsta un radošo darbnīcu grupu nodarbībām 102.45 euro; 
2) PR pakalpojuma ieviešanas nodrošināšanai 537.88 euro.</t>
  </si>
  <si>
    <t>1) 537.88 euro x 12 mēneši = 6454.56 euro; 2) 6454.56 euro /225= 28.69 euro. Pārbaude: 28.69*225=6455.25. Noapaļošanas starpība 0.69</t>
  </si>
  <si>
    <t xml:space="preserve">Daļu no radošo darbnīcu nodarbībām plānots organizēt dažādu muzeju telpās, lai nodarbības bērniem veidotu asociāciju ne tikai ar vienu konkrētu telpu un nodarbību veidu slēgtās telpās, bet veicinātu bērna iederēšanos dažādās interesantās radošās vidēs. </t>
  </si>
  <si>
    <t xml:space="preserve">Vispārīgā atbalsta grupa - 
1) vienas  grupu nodarbības izmaksas - 3 stundas x 16 x 2 telpas = 96 euro; 
2) 96 euro x 60 nodarbības = 5760 euro.
 Radošās darbnīcas - 
1) vienas grupu nodarbības izmaksas - 6 stundas x 16 x2 euro = 192 euro; 
2) 192 euro x 40 nodarbības = 7680 euro
</t>
  </si>
  <si>
    <t>Ārpus Rīgas kopā plānotas 24 vispārīgās grupu nodarbības (3 stundas = 2 stundas ilgs grupu nodarbība + 1 stunda telpu sagatavošana pirms un pēc nodarbības);  24 nodarbības x 3 stundas = 72 stundas.                                                                                     Ārpus Rīgas kopā plānotas 40 radošo darbnīcu nodarbības (6 stundas = 5 stundas ilgs nodarbība un 1 stunda telpu sagatošana pirms un pēc nodarbības), īrēt nepieciešams 2 telpas (nodarbībai un bērnu pieskatīšanai);  64 nodarbības x 6 stundas =384 stundas</t>
  </si>
  <si>
    <t>Izmaksas vienai grupu nodarbībai - 
1) viens pieskatītājs x 3 h x 6.47 euro = 19.41 euro x 3 pieskatītāji = 58.23 euro;
 2) 58.23 euro x 80 nodarbības = 4658.40 euro</t>
  </si>
  <si>
    <t>Tiek piesaistīti klātienes grupu nodarbībās. 80 vispārīgās  grupu nodarbības klātienē (nodarbības ilgums 2h). Katrai grupas nodarbībai tiek piesaistīti 1-3 pieskatītāji (izmaksu aprēķinā rēķināti trīs). Tiek pieņemts, ka pusei no vecākiem būs līdzi arī bērns  - viens pieskatītājs rūpējās par 3 bērniem ar AST. Vidēji vienai nodarbība tiek plānoti 10 dalībnieki un atbalsta grupu vadītājs, tiek piesaistīti 1-3 pieskatītāji.</t>
  </si>
  <si>
    <t xml:space="preserve">Tiek pieņemts, ka, lai nodrošinātu kafijas pauzi, uz vienu grupas dalībnieku vienā atbalsta grupas nodarbībā tiks izlietoti 3 euro, bet radošās darbnīcas nodarbībā izlietoti 4 euro (lielāka izmaksa saistīta ar to, ka bērnus uz darbnīcu atved vecāki, kuri gaida bērnus līdz viņi pabeigs nodarbību). Izmaksu aprēķins:
 1) vispārīgās atbalsta grupas vienā nodarbībā piedalās vidēji 10 dalībnieki un atbalsta grupas vadītājs  - 11 dalībnieki x 3 euro = 33 euro/vienai grupai. 
2)  radošās darbnīcas vienā nodarbībā piedalās 16 bērni un 3 radošo darbnīcu vadītāji - 19 dalībnieki x 4 euro = 76 euro. </t>
  </si>
  <si>
    <t>76 euro x 64 nodarbības = 4864 euro</t>
  </si>
  <si>
    <t>1) Tulka izmaksas uz vienu apmācāmo līdzinieku ir 25.2 euro (504 euro kopējie tulkošanas pakalpojumi / 20 dalībnieki). 
2) Kopējie tulkošanas pakalpojumi ir 504 euro (21 stundas x tulkotāja atlīdzība 24 euro/ stundā). 
3) Līdznieku apmācības ilgst 21 sundas (3 nodarbības klātienē x 6 stundas + 1 nodarbība attālināti x 3 stundas = 21 stundas). Stundas likme lekcijas tulkošanai ir 24 euro.  
Izvēlētais pakalpojuma sniedzējs ir mācību centrs ATBALSTS, ar kuru LAA ir izveidojusies laba sadarbība (tulkam ir pieredze līdzīga satura pasākumos un pakalpojuma sniedzējs pārzin AST jomas specifiku).</t>
  </si>
  <si>
    <t>1) Kopējie somu speciālistu ceļa izdevumi ir 404.28 euro. Ceļa izdevumi etver divu speciālistu lidojuma izdevumus un ceļa izdevumus līdz viesu namam un atpakaļ. Tirgus izpētes rezultāti un ceļa izdevumu aprēkins 8.9. pielikumā. 
2) Somu speciālista ceļa izdevumi uz vienu apmācāmo līdzinieku ir 20.21 euro.</t>
  </si>
  <si>
    <r>
      <t xml:space="preserve">Izmitināšanas, ēdināšanas un telpu nomas pasākumam izmaksas </t>
    </r>
    <r>
      <rPr>
        <b/>
        <sz val="12"/>
        <rFont val="Times New Roman"/>
        <family val="1"/>
      </rPr>
      <t>plānotas uz 30 dalībniekiem</t>
    </r>
    <r>
      <rPr>
        <sz val="12"/>
        <rFont val="Times New Roman"/>
        <family val="1"/>
      </rPr>
      <t xml:space="preserve">, no kuriem divi ir profesionāļi - somu speciālisti, PR pakalpojuma vadītājs, PR pakalpojuma koordinators, tulks un 25 apmācāmie atbalsta grupu vadītāji līdzinieki, no kuriem 5 apmācāmie atbalsta grupu vadītāji līdzinieki izmēģinājumprojektā uzsāks vadīt grupas, ja kāds no plānotajiem 20 atbalsta grupu vadītājiem līdziniekiem neparedzētu apstākļu dēļ nevarēs vadīt kādu no atbalsta grupām. Tirgus izpētes rezultāti un izmaksu aprēķins uz vienu dalībnieku ir 8.9. pielikumā.
1) Kopējie dalībnieku izmitināšanas, ēdināšanas un telpu nomas pasākumam izdevumi ir </t>
    </r>
    <r>
      <rPr>
        <b/>
        <sz val="12"/>
        <rFont val="Times New Roman"/>
        <family val="1"/>
      </rPr>
      <t>2879.6 euro (95.99 euro par vienu dalībnieku x 30 dalībnieki)</t>
    </r>
    <r>
      <rPr>
        <sz val="12"/>
        <rFont val="Times New Roman"/>
        <family val="1"/>
      </rPr>
      <t>. 
2) Dalībnieku izmitināšanas, ēdināšanas un telpu nomas pasākumam izdevumi uz vienu apmācāmo līdzinieku ir 143.98 euro (2879.6 euro dalīts ar 20 apmācāmiem līdziniekiem).</t>
    </r>
  </si>
  <si>
    <t>Apmācāmi ir 20 atbalsta grupu vadītāji - līdzinieki, no tiem 8 vadīs vispārīgās atbalsta grupas ārpus Rīgas dažādos reģionos, t.i. 40% no kopējo apmācāmo dalībnieku skaita (8 / 20 x 100 = 40%) (vienas grupas ietvaros, tir ir 2 no 5 dalībniekiem (40% x5 = 2). Šiem apmācību grupu dalībniekiem būs jānokļūst uz apmācību nodarbībām klātienē Rīgā. Aprēķinātas vidēji nosedzamie ceļa izdevumi, kas ir 17.5 eur par braucienu turp un atpakaļ. Tirgus izpētes rezultāts un aprēķina skaidrojumu skatīt 8.9.pielikumā.
Tā kā ceļa izdevumi attiecināmi tikai uz daļu no darbiniekiem, lai aprēķinātu ceļa izdevumus uz vienu apmācību grupu dalībnieku, tie tika proporcionāli samazināti līdz (17.5 euro x 40% = 7 euro). (Pārbaude:  7 euro x 20 apmācību dalībnieki = 140 euro un 140 euro / 17.50 = 8)</t>
  </si>
  <si>
    <t>Izpētē iekļauti trīs operatori, kuri piedāvā tiešos reisus no Helsinkiem uz Rīgu un atpakaļ (šie reisi ir lētāki). Tā kā lidojumu cenas ik dienu mainās un savlaicīgu lidojumu rezervēšana ir lētāka, tad pakalpojumam izvēlēta vidējā aritmētiskā cena. Vienam profesionālim lidojuma cena turp un atpakaļ ir 183.67 euro. Uz apmācībām ieradīsies divi speciālisti, līdz ar to lidojuma cena būs 367.34 euro. Papildus speciālistiem vajadzēs nokļūt no lidostas līdz viesu namam Tukumā (attālums 102. km). Paredzēts, ka pasniedzējus uz visu namu nogādās viens no apmācību organizētājiem.  Ņemot vērā 8.5. pielikuma ceļa izdevumu aprēķinu, atlīdzināmie ceļa izdevumi ir 36.94 euro, (102 km x 10litri/100 km x 1.811 euro/litrs* 2 braucieni).</t>
  </si>
  <si>
    <t>Pasākuma izmaksas attiecināmas uz 80 speciālām atbalsta grupu nodarbībām un 64 radošo darbnīcu nodarbībām, kuras vadīs profesionāļi (vietējie speciālisti). Izmaksās iekļautas trīs klātienes konsultācijas. 
Vienas klātienes konsultācija ietver izmaksas 783.67 euro apmērā: atlīdzība somu speciālistam 500 euro, palikšana viesnīcā uz 1 nakti ar brokastīm 100 euro, somu eksperta lidojuma izmaksas 183.67.
Trīs klātienes nodarbību izmaksas 2351.01 = 783.67 x 3
Uz vienu nodarbību attiecināmās izmaksas 2351.01/144 = 16.33 Pārbaude: 16.33x144=2351.52. Noapaļošanas starpība 0.51</t>
  </si>
  <si>
    <t xml:space="preserve"> IT speciālists strādā uz 0.5 slodzi. 1595.55/2 =797.78 euro mēnesī.
Izmaksas uz projekta laiku ir 797.78 *12 mēneši = 9573.36. Izmaksas uz vienu nodarbību =9573.36/225 nodarbībām = 42.55 euro/nodarbība (42.55 euro x 225 nodarbības = 9573.75 euro, noapaļošanas starpība 0.39). </t>
  </si>
  <si>
    <t xml:space="preserve">Plānota viena priekšizpētes atbalsta grupa, tulka izmaksas ir 72 euro.
Priekšizpētes atbalsta grupas nodarbības ilgums ir 3 stundas. 
Tulka pakalpojumi vienai nodarbībai: tulkošanas stundas likme 24 euro x 3 stundas = 72 euro 
</t>
  </si>
  <si>
    <t>Kopā 12 mēnešo plānots novadīt 161 nodarbības attālināti, t.sk. 80 ir klātienes vispārīgā atbalsta grupu nodarbības, kurām tiek nodrošināta attālināta pieeja tiem dalībniekiem, kuri nevar ierasties klātienē. Aplikācijas mēneša maksa ir 15.80 euro. Aprēķins - 
1) 15.80 euro/mēn. X 12 mēneši = 189.60 euro; 
2) 189.60 euro / 161 nodarbības = 1.18 euro/nodarbība. 
Pārbaude: 1.18 euro x 161 nodarbības = 189.98 euro. Noapaļošanas starpība 0.38.</t>
  </si>
  <si>
    <t>29103.36 euro / 225 nodarbības = 129.35 euro (129.35 x 225 nodarbības = 29103.75 euro). Noapaļošanas starpība 0.39.</t>
  </si>
  <si>
    <t>Transporta pakalpojuma vienas grupu nodarbības cena ir 186.08 euro. Tiek pieņemts, ka pusei nodarbību būs nepieciešami 2 autobusi un pusei nodarbību tikai viens. 50 nodarbības x 186.08 euro (divu autobusu noma) + 50 nodarbības x 93.04 (viena mikroautobusa noma) = 13 956 euro.</t>
  </si>
  <si>
    <t>33 euro x 80 nodarbības = 2640 euro</t>
  </si>
  <si>
    <t xml:space="preserve">Profesionāļa - vietējā speciālista atlīdzība ir 543.8 euro (271.90 euro * 2 nodarbības = 534.8 euro) un viena līdzinieka apmācību izmaksa ir 27.19 euro (543.8 euro /20 apmācāmie līdzinieki = 27.19 euro).  Pēc apmācību nodarbībām klātienē tiek paredzētas divas follow-up nodarbības attālināti, kuras vada profesionālis - vietējais speciālists. Katra nodarbība ilgst 2 stundas. </t>
  </si>
  <si>
    <t>**Atbalsta grupu vadītājs - profesionālis - somu speciālists  - veidojot PR pakalpojumu, tiek pārņemta Somijas Autisma apvienības labā prakse, līdz ar to priekšizpētes grupu nodarbībām tiek piesaistīts prfesionālis - somu speciālists, atbilstoši somu speciālista pakalpojumu izcenojumam, t.sk. atlīdzību par vienas lekcijas novadīšanu 500 euro apmērā.</t>
  </si>
  <si>
    <t xml:space="preserve">*** Atbalsta grupu vadītājs - profesionālis (vietējais speciālists) un pieredzes eksperts -  lai nodrošinātu PR pakalpojumu, ir uzrunāti dažādi vietējie speciālisti, tostarp vairāki speciālisti no Bērnu klīniskā universitātes slimnīcas (psihiatrs, ginekoloģe un agrīnās intervences komandas vadītāja), sertificēta ārstniecības persona zobu higiēniste specialitāte no Rīgas Stradiņ universitātes stomatoloģijas institūta, lietišķās uzvedības analīzes (ABA) speciālists, kuri ir piekrituši iesaistīties PR pakalpojuma nodrošināšanā. Aptaujājot šos speciālistus, tika iegūta informācija par atlīdzības apmēru.  Radošās darbnīcas vada trīs profesionāļi - vietējie speciālisti, līdz ar to vienas grupu nodarbības cena ir 271.90 euro * 3 profesionāļi = 815.70 euro. </t>
  </si>
  <si>
    <t>**** Atbalsta grupu vadītāju -  pieredzes ekspertu -  veidojot PR pakalpojumu, tiek pārņemta Somijas Autisma apvienības labā prakse, kas paredz motivējošu atlīdzību (127.30 euro par nodarbību) pieredzes ekspertiem par viņu darbu atbalsta grupu vadīšanā. 
 Tā kā no plānotajām 80 specializēto atbalsta grupu nodarbībām pieredzes eksperti vada 20 nodarbības (25%), tad vienas nodarbības cenas aprēķinam ir aprēķināta proporcionālā cena  31.83 euro (20 nodarbības * 127.30 / 80 kopējais nodarbību skaits = 31.83 euro).</t>
  </si>
  <si>
    <t>******  Pamatojoties uz Sociālo pakalpojumu un sociālās palīdzības likuma 13. panta otrās daļas 3 prim punktu, aprēķinot PR pakalpojuma vienas vienības izmaksas izmēģinājumprojektam, tiek pieņemts, ka administrēšanas izdevumiem tiek novirzīti 10 % no kopējām aprēķinātajām atlīdzības izmaksām pakalpojuma nodrošināšanā iesaistītajiem speciālistiem nn ar PR pakalpojuma prasību nodrošināšanu saistītās izmaksas. Administrēšanas izdevumus pakalpojumu sniedzējs var novirzīt atalgojumam (grāmatvedis, finansists), komunālajiem pakalpojumiem un telpu īrei, sakaru pakalpojumiem, degvielai, biroja un kancelejas precēm utt., t.i. visiem izdevumiem, kas rodas, lai nodrošinātu attiecīgo pakalpojumu.</t>
  </si>
  <si>
    <t>No 2023. gada 15. marta atalgojums PR pakalpojuma koordinatoram ar 0.7 slodzi ir 1116.89 euro (1595.55 x 0.7 = 1116.89 euro), PR pakalpojuma koordinatoram ar 0.6 slodzi ir 957.33 euro (1595.55 x 0.6 = 957.33 euro) un sociālajam darbiniekam ir 1329.71euro (1899.58 x 0.7 = 1329.71 euro)</t>
  </si>
  <si>
    <t>90 euro x 64 nodarbības =5875.20 euro</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</si>
</sst>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quot;Jā&quot;;&quot;Jā&quot;;&quot;Nē&quot;"/>
    <numFmt numFmtId="179" formatCode="&quot;Patiess&quot;;&quot;Patiess&quot;;&quot;Aplams&quot;"/>
    <numFmt numFmtId="180" formatCode="&quot;Ieslēgts&quot;;&quot;Ieslēgts&quot;;&quot;Izslēgts&quot;"/>
    <numFmt numFmtId="181" formatCode="[$€-2]\ #\ ##,000_);[Red]\([$€-2]\ #\ ##,000\)"/>
    <numFmt numFmtId="182" formatCode="0.0"/>
    <numFmt numFmtId="183" formatCode="0.0000000000"/>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00"/>
    <numFmt numFmtId="193" formatCode="#\ ##0.00"/>
    <numFmt numFmtId="194" formatCode="&quot;Yes&quot;;&quot;Yes&quot;;&quot;No&quot;"/>
    <numFmt numFmtId="195" formatCode="&quot;True&quot;;&quot;True&quot;;&quot;False&quot;"/>
    <numFmt numFmtId="196" formatCode="&quot;On&quot;;&quot;On&quot;;&quot;Off&quot;"/>
    <numFmt numFmtId="197" formatCode="[$€-2]\ #,##0.00_);[Red]\([$€-2]\ #,##0.00\)"/>
  </numFmts>
  <fonts count="72">
    <font>
      <sz val="11"/>
      <color theme="1"/>
      <name val="Calibri"/>
      <family val="2"/>
    </font>
    <font>
      <sz val="11"/>
      <color indexed="8"/>
      <name val="Calibri"/>
      <family val="2"/>
    </font>
    <font>
      <i/>
      <sz val="12"/>
      <name val="Times New Roman"/>
      <family val="1"/>
    </font>
    <font>
      <sz val="12"/>
      <name val="Times New Roman"/>
      <family val="1"/>
    </font>
    <font>
      <b/>
      <sz val="14"/>
      <name val="Times New Roman"/>
      <family val="1"/>
    </font>
    <font>
      <sz val="14"/>
      <name val="Times New Roman"/>
      <family val="1"/>
    </font>
    <font>
      <sz val="10"/>
      <name val="Arial"/>
      <family val="2"/>
    </font>
    <font>
      <b/>
      <sz val="12"/>
      <name val="Times New Roman"/>
      <family val="1"/>
    </font>
    <font>
      <sz val="8"/>
      <name val="Calibri"/>
      <family val="2"/>
    </font>
    <font>
      <b/>
      <sz val="12"/>
      <color indexed="8"/>
      <name val="Times New Roman"/>
      <family val="1"/>
    </font>
    <font>
      <u val="single"/>
      <sz val="12"/>
      <name val="Times New Roman"/>
      <family val="1"/>
    </font>
    <font>
      <sz val="12"/>
      <color indexed="8"/>
      <name val="Times New Roman"/>
      <family val="1"/>
    </font>
    <font>
      <sz val="9"/>
      <name val="Tahoma"/>
      <family val="2"/>
    </font>
    <font>
      <b/>
      <sz val="9"/>
      <name val="Tahoma"/>
      <family val="2"/>
    </font>
    <font>
      <sz val="11"/>
      <name val="Times New Roman"/>
      <family val="1"/>
    </font>
    <font>
      <b/>
      <sz val="11"/>
      <color indexed="52"/>
      <name val="Calibri"/>
      <family val="2"/>
    </font>
    <font>
      <sz val="11"/>
      <color indexed="10"/>
      <name val="Calibri"/>
      <family val="2"/>
    </font>
    <font>
      <u val="single"/>
      <sz val="11"/>
      <color indexed="30"/>
      <name val="Calibri"/>
      <family val="2"/>
    </font>
    <font>
      <sz val="11"/>
      <color indexed="62"/>
      <name val="Calibri"/>
      <family val="2"/>
    </font>
    <font>
      <sz val="11"/>
      <color indexed="9"/>
      <name val="Calibri"/>
      <family val="2"/>
    </font>
    <font>
      <u val="single"/>
      <sz val="11"/>
      <color indexed="25"/>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8"/>
      <color indexed="54"/>
      <name val="Calibri Light"/>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4"/>
      <name val="Calibri"/>
      <family val="2"/>
    </font>
    <font>
      <b/>
      <sz val="13"/>
      <color indexed="54"/>
      <name val="Calibri"/>
      <family val="2"/>
    </font>
    <font>
      <b/>
      <sz val="11"/>
      <color indexed="54"/>
      <name val="Calibri"/>
      <family val="2"/>
    </font>
    <font>
      <sz val="12"/>
      <color indexed="8"/>
      <name val="Calibri"/>
      <family val="2"/>
    </font>
    <font>
      <sz val="11"/>
      <name val="Calibri"/>
      <family val="2"/>
    </font>
    <font>
      <b/>
      <sz val="12"/>
      <color indexed="10"/>
      <name val="Times New Roman"/>
      <family val="1"/>
    </font>
    <font>
      <sz val="12"/>
      <color indexed="10"/>
      <name val="Times New Roman"/>
      <family val="1"/>
    </font>
    <font>
      <b/>
      <sz val="11"/>
      <color indexed="10"/>
      <name val="Calibri"/>
      <family val="2"/>
    </font>
    <font>
      <sz val="11"/>
      <color indexed="8"/>
      <name val="Times New Roman"/>
      <family val="1"/>
    </font>
    <font>
      <b/>
      <sz val="14"/>
      <color indexed="8"/>
      <name val="Times New Roman"/>
      <family val="1"/>
    </font>
    <font>
      <i/>
      <sz val="12"/>
      <color indexed="8"/>
      <name val="Times New Roman"/>
      <family val="1"/>
    </font>
    <font>
      <b/>
      <sz val="11"/>
      <color rgb="FFFA7D00"/>
      <name val="Calibri"/>
      <family val="2"/>
    </font>
    <font>
      <sz val="11"/>
      <color rgb="FFFF0000"/>
      <name val="Calibri"/>
      <family val="2"/>
    </font>
    <font>
      <u val="single"/>
      <sz val="11"/>
      <color theme="10"/>
      <name val="Calibri"/>
      <family val="2"/>
    </font>
    <font>
      <sz val="11"/>
      <color rgb="FF3F3F76"/>
      <name val="Calibri"/>
      <family val="2"/>
    </font>
    <font>
      <sz val="11"/>
      <color theme="0"/>
      <name val="Calibri"/>
      <family val="2"/>
    </font>
    <font>
      <u val="single"/>
      <sz val="11"/>
      <color theme="11"/>
      <name val="Calibri"/>
      <family val="2"/>
    </font>
    <font>
      <b/>
      <sz val="11"/>
      <color rgb="FF3F3F3F"/>
      <name val="Calibri"/>
      <family val="2"/>
    </font>
    <font>
      <b/>
      <sz val="11"/>
      <color theme="1"/>
      <name val="Calibri"/>
      <family val="2"/>
    </font>
    <font>
      <sz val="11"/>
      <color rgb="FF006100"/>
      <name val="Calibri"/>
      <family val="2"/>
    </font>
    <font>
      <sz val="11"/>
      <color rgb="FF9C5700"/>
      <name val="Calibri"/>
      <family val="2"/>
    </font>
    <font>
      <sz val="11"/>
      <color rgb="FF000000"/>
      <name val="Calibri"/>
      <family val="2"/>
    </font>
    <font>
      <sz val="18"/>
      <color theme="3"/>
      <name val="Calibri Light"/>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2"/>
      <color theme="1"/>
      <name val="Calibri"/>
      <family val="2"/>
    </font>
    <font>
      <sz val="12"/>
      <color theme="1"/>
      <name val="Times New Roman"/>
      <family val="1"/>
    </font>
    <font>
      <b/>
      <sz val="12"/>
      <color theme="1"/>
      <name val="Times New Roman"/>
      <family val="1"/>
    </font>
    <font>
      <b/>
      <sz val="12"/>
      <color rgb="FFFF0000"/>
      <name val="Times New Roman"/>
      <family val="1"/>
    </font>
    <font>
      <sz val="12"/>
      <color rgb="FFFF0000"/>
      <name val="Times New Roman"/>
      <family val="1"/>
    </font>
    <font>
      <b/>
      <sz val="11"/>
      <color rgb="FFFF0000"/>
      <name val="Calibri"/>
      <family val="2"/>
    </font>
    <font>
      <sz val="12"/>
      <color rgb="FF000000"/>
      <name val="Times New Roman"/>
      <family val="1"/>
    </font>
    <font>
      <sz val="11"/>
      <color theme="1"/>
      <name val="Times New Roman"/>
      <family val="1"/>
    </font>
    <font>
      <b/>
      <sz val="12"/>
      <color rgb="FF000000"/>
      <name val="Times New Roman"/>
      <family val="1"/>
    </font>
    <font>
      <b/>
      <sz val="14"/>
      <color theme="1"/>
      <name val="Times New Roman"/>
      <family val="1"/>
    </font>
    <font>
      <i/>
      <sz val="12"/>
      <color theme="1"/>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04997999966144562"/>
        <bgColor indexed="64"/>
      </patternFill>
    </fill>
    <fill>
      <patternFill patternType="lightDown"/>
    </fill>
    <fill>
      <patternFill patternType="lightDown">
        <bgColor theme="5" tint="0.7999799847602844"/>
      </patternFill>
    </fill>
    <fill>
      <patternFill patternType="lightUp"/>
    </fill>
    <fill>
      <patternFill patternType="solid">
        <fgColor rgb="FFFF000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1" borderId="1" applyNumberFormat="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6" fillId="0" borderId="0" applyNumberFormat="0" applyFill="0" applyBorder="0" applyAlignment="0" applyProtection="0"/>
    <xf numFmtId="0" fontId="47"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0" applyNumberFormat="0" applyBorder="0" applyAlignment="0" applyProtection="0"/>
    <xf numFmtId="0" fontId="6" fillId="0" borderId="0">
      <alignment/>
      <protection/>
    </xf>
    <xf numFmtId="0" fontId="51" fillId="0" borderId="0">
      <alignment/>
      <protection/>
    </xf>
    <xf numFmtId="0" fontId="52" fillId="0" borderId="0" applyNumberFormat="0" applyFill="0" applyBorder="0" applyAlignment="0" applyProtection="0"/>
    <xf numFmtId="0" fontId="53" fillId="0" borderId="0" applyNumberFormat="0" applyFill="0" applyBorder="0" applyAlignment="0" applyProtection="0"/>
    <xf numFmtId="0" fontId="54"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5" fillId="0" borderId="6" applyNumberFormat="0" applyFill="0" applyAlignment="0" applyProtection="0"/>
    <xf numFmtId="0" fontId="56"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0" borderId="9" applyNumberFormat="0" applyFill="0" applyAlignment="0" applyProtection="0"/>
    <xf numFmtId="0" fontId="59" fillId="0" borderId="0" applyNumberFormat="0" applyFill="0" applyBorder="0" applyAlignment="0" applyProtection="0"/>
  </cellStyleXfs>
  <cellXfs count="329">
    <xf numFmtId="0" fontId="0" fillId="0" borderId="0" xfId="0" applyFont="1" applyAlignment="1">
      <alignment/>
    </xf>
    <xf numFmtId="0" fontId="60" fillId="0" borderId="0" xfId="0" applyFont="1" applyAlignment="1">
      <alignment horizontal="left" vertical="center" indent="5"/>
    </xf>
    <xf numFmtId="0" fontId="61" fillId="0" borderId="10" xfId="0" applyFont="1" applyBorder="1" applyAlignment="1">
      <alignment horizontal="center" vertical="center"/>
    </xf>
    <xf numFmtId="0" fontId="3" fillId="0" borderId="10" xfId="0" applyFont="1" applyBorder="1" applyAlignment="1">
      <alignment horizontal="left" vertical="center" wrapText="1"/>
    </xf>
    <xf numFmtId="0" fontId="61" fillId="0" borderId="10" xfId="0" applyFont="1" applyBorder="1" applyAlignment="1">
      <alignment horizontal="left" vertical="center" wrapText="1"/>
    </xf>
    <xf numFmtId="0" fontId="0" fillId="0" borderId="0" xfId="0" applyAlignment="1">
      <alignment/>
    </xf>
    <xf numFmtId="0" fontId="3" fillId="33" borderId="0" xfId="35" applyFont="1" applyFill="1" applyAlignment="1">
      <alignment/>
    </xf>
    <xf numFmtId="0" fontId="34" fillId="0" borderId="0" xfId="0" applyFont="1" applyAlignment="1">
      <alignment/>
    </xf>
    <xf numFmtId="0" fontId="0" fillId="0" borderId="11" xfId="0" applyBorder="1" applyAlignment="1">
      <alignment/>
    </xf>
    <xf numFmtId="0" fontId="0" fillId="0" borderId="0" xfId="0" applyAlignment="1">
      <alignment/>
    </xf>
    <xf numFmtId="0" fontId="7" fillId="0" borderId="0" xfId="0" applyFont="1" applyAlignment="1">
      <alignment wrapText="1"/>
    </xf>
    <xf numFmtId="0" fontId="62" fillId="14" borderId="10" xfId="0" applyFont="1" applyFill="1" applyBorder="1" applyAlignment="1">
      <alignment horizontal="center"/>
    </xf>
    <xf numFmtId="0" fontId="61" fillId="0" borderId="10" xfId="0" applyFont="1" applyBorder="1" applyAlignment="1">
      <alignment/>
    </xf>
    <xf numFmtId="0" fontId="61" fillId="0" borderId="10" xfId="0" applyFont="1" applyBorder="1" applyAlignment="1">
      <alignment wrapText="1"/>
    </xf>
    <xf numFmtId="0" fontId="61" fillId="0" borderId="0" xfId="0" applyFont="1" applyAlignment="1">
      <alignment/>
    </xf>
    <xf numFmtId="4" fontId="3" fillId="0" borderId="10" xfId="0" applyNumberFormat="1" applyFont="1" applyBorder="1" applyAlignment="1">
      <alignment horizontal="left" vertical="center"/>
    </xf>
    <xf numFmtId="4" fontId="61" fillId="0" borderId="10" xfId="0" applyNumberFormat="1" applyFont="1" applyBorder="1" applyAlignment="1">
      <alignment horizontal="left" vertical="center"/>
    </xf>
    <xf numFmtId="0" fontId="61" fillId="0" borderId="0" xfId="0" applyFont="1" applyAlignment="1">
      <alignment horizontal="right"/>
    </xf>
    <xf numFmtId="0" fontId="62" fillId="0" borderId="10" xfId="0" applyFont="1" applyBorder="1" applyAlignment="1">
      <alignment horizontal="center"/>
    </xf>
    <xf numFmtId="4" fontId="62" fillId="0" borderId="10" xfId="0" applyNumberFormat="1" applyFont="1" applyBorder="1" applyAlignment="1">
      <alignment horizontal="left" vertical="center"/>
    </xf>
    <xf numFmtId="0" fontId="62" fillId="0" borderId="10" xfId="0" applyFont="1" applyBorder="1" applyAlignment="1">
      <alignment horizontal="left" vertical="center"/>
    </xf>
    <xf numFmtId="0" fontId="61" fillId="0" borderId="10" xfId="0" applyFont="1" applyBorder="1" applyAlignment="1">
      <alignment horizontal="left" vertical="center" wrapText="1"/>
    </xf>
    <xf numFmtId="0" fontId="61" fillId="0" borderId="10" xfId="0" applyFont="1" applyBorder="1" applyAlignment="1">
      <alignment horizontal="center"/>
    </xf>
    <xf numFmtId="2" fontId="61" fillId="0" borderId="10" xfId="0" applyNumberFormat="1" applyFont="1" applyBorder="1" applyAlignment="1">
      <alignment horizontal="center"/>
    </xf>
    <xf numFmtId="0" fontId="61" fillId="0" borderId="10" xfId="0" applyFont="1" applyBorder="1" applyAlignment="1">
      <alignment horizontal="center" wrapText="1"/>
    </xf>
    <xf numFmtId="0" fontId="61" fillId="0" borderId="10" xfId="0" applyFont="1" applyBorder="1" applyAlignment="1">
      <alignment horizontal="center" vertical="center" wrapText="1"/>
    </xf>
    <xf numFmtId="0" fontId="61" fillId="0" borderId="10" xfId="0" applyFont="1" applyBorder="1" applyAlignment="1">
      <alignment horizontal="center" vertical="center" wrapText="1"/>
    </xf>
    <xf numFmtId="4" fontId="62" fillId="0" borderId="10" xfId="0" applyNumberFormat="1" applyFont="1" applyBorder="1" applyAlignment="1">
      <alignment horizontal="center"/>
    </xf>
    <xf numFmtId="2" fontId="0" fillId="0" borderId="0" xfId="0" applyNumberFormat="1" applyAlignment="1">
      <alignment/>
    </xf>
    <xf numFmtId="0" fontId="0" fillId="0" borderId="10" xfId="0" applyBorder="1" applyAlignment="1">
      <alignment/>
    </xf>
    <xf numFmtId="0" fontId="0" fillId="0" borderId="10" xfId="0" applyBorder="1" applyAlignment="1">
      <alignment horizontal="center"/>
    </xf>
    <xf numFmtId="0" fontId="61" fillId="0" borderId="10" xfId="0" applyFont="1" applyBorder="1" applyAlignment="1">
      <alignment horizontal="left"/>
    </xf>
    <xf numFmtId="0" fontId="62" fillId="0" borderId="10" xfId="0" applyFont="1" applyBorder="1" applyAlignment="1">
      <alignment horizontal="right"/>
    </xf>
    <xf numFmtId="2" fontId="62" fillId="0" borderId="10" xfId="0" applyNumberFormat="1" applyFont="1" applyBorder="1" applyAlignment="1">
      <alignment horizontal="center"/>
    </xf>
    <xf numFmtId="0" fontId="0" fillId="0" borderId="0" xfId="0" applyAlignment="1">
      <alignment horizontal="center" vertical="center"/>
    </xf>
    <xf numFmtId="0" fontId="62" fillId="0" borderId="0" xfId="0" applyFont="1" applyFill="1" applyBorder="1" applyAlignment="1">
      <alignment horizontal="left" vertical="center"/>
    </xf>
    <xf numFmtId="0" fontId="61" fillId="0" borderId="0" xfId="0" applyFont="1" applyFill="1" applyBorder="1" applyAlignment="1">
      <alignment horizontal="left" vertical="center"/>
    </xf>
    <xf numFmtId="0" fontId="0" fillId="0" borderId="0" xfId="0" applyAlignment="1">
      <alignment horizontal="left" vertical="center"/>
    </xf>
    <xf numFmtId="0" fontId="62" fillId="0" borderId="12" xfId="0" applyFont="1" applyBorder="1" applyAlignment="1">
      <alignment horizontal="right" vertical="center" wrapText="1"/>
    </xf>
    <xf numFmtId="0" fontId="61" fillId="0" borderId="10" xfId="0" applyFont="1" applyBorder="1" applyAlignment="1">
      <alignment horizontal="center" vertical="center" wrapText="1"/>
    </xf>
    <xf numFmtId="0" fontId="61" fillId="0" borderId="10" xfId="0" applyFont="1" applyBorder="1" applyAlignment="1">
      <alignment horizontal="left" wrapText="1"/>
    </xf>
    <xf numFmtId="0" fontId="43" fillId="0" borderId="0" xfId="35" applyAlignment="1">
      <alignment/>
    </xf>
    <xf numFmtId="0" fontId="61" fillId="0" borderId="0" xfId="0" applyFont="1" applyAlignment="1">
      <alignment wrapText="1"/>
    </xf>
    <xf numFmtId="0" fontId="3" fillId="0" borderId="10" xfId="0" applyFont="1" applyBorder="1" applyAlignment="1">
      <alignment wrapText="1"/>
    </xf>
    <xf numFmtId="0" fontId="61" fillId="33" borderId="10" xfId="0" applyFont="1" applyFill="1" applyBorder="1" applyAlignment="1">
      <alignment horizontal="center"/>
    </xf>
    <xf numFmtId="0" fontId="62" fillId="0" borderId="10" xfId="0" applyFont="1" applyBorder="1" applyAlignment="1">
      <alignment/>
    </xf>
    <xf numFmtId="0" fontId="61" fillId="0" borderId="0" xfId="0" applyFont="1" applyAlignment="1">
      <alignment/>
    </xf>
    <xf numFmtId="0" fontId="62" fillId="0" borderId="0" xfId="0" applyFont="1" applyAlignment="1">
      <alignment horizontal="left" vertical="center" wrapText="1"/>
    </xf>
    <xf numFmtId="3" fontId="62" fillId="0" borderId="10" xfId="0" applyNumberFormat="1" applyFont="1" applyBorder="1" applyAlignment="1">
      <alignment horizontal="center"/>
    </xf>
    <xf numFmtId="4" fontId="62" fillId="0" borderId="0" xfId="0" applyNumberFormat="1" applyFont="1" applyBorder="1" applyAlignment="1">
      <alignment horizontal="center"/>
    </xf>
    <xf numFmtId="0" fontId="61" fillId="0" borderId="0" xfId="0" applyFont="1" applyAlignment="1">
      <alignment horizontal="right"/>
    </xf>
    <xf numFmtId="0" fontId="61" fillId="0" borderId="13" xfId="0" applyFont="1" applyBorder="1" applyAlignment="1">
      <alignment horizontal="center" vertical="center" wrapText="1"/>
    </xf>
    <xf numFmtId="0" fontId="61" fillId="0" borderId="10" xfId="0" applyFont="1" applyFill="1" applyBorder="1" applyAlignment="1">
      <alignment/>
    </xf>
    <xf numFmtId="0" fontId="61" fillId="0" borderId="10" xfId="0" applyFont="1" applyBorder="1" applyAlignment="1">
      <alignment vertical="top" wrapText="1"/>
    </xf>
    <xf numFmtId="0" fontId="3" fillId="0" borderId="10" xfId="0" applyFont="1" applyBorder="1" applyAlignment="1">
      <alignment horizontal="left" vertical="top" wrapText="1"/>
    </xf>
    <xf numFmtId="0" fontId="61" fillId="0" borderId="10" xfId="0" applyFont="1" applyBorder="1" applyAlignment="1">
      <alignment vertical="top"/>
    </xf>
    <xf numFmtId="0" fontId="3" fillId="0" borderId="13" xfId="0" applyFont="1" applyBorder="1" applyAlignment="1">
      <alignment vertical="top" wrapText="1"/>
    </xf>
    <xf numFmtId="0" fontId="3" fillId="0" borderId="10" xfId="0" applyFont="1" applyBorder="1" applyAlignment="1">
      <alignment vertical="top" wrapText="1"/>
    </xf>
    <xf numFmtId="4" fontId="62" fillId="0" borderId="10" xfId="0" applyNumberFormat="1" applyFont="1" applyBorder="1" applyAlignment="1">
      <alignment horizontal="right" vertical="center"/>
    </xf>
    <xf numFmtId="0" fontId="62" fillId="0" borderId="10" xfId="0" applyFont="1" applyFill="1" applyBorder="1" applyAlignment="1">
      <alignment wrapText="1"/>
    </xf>
    <xf numFmtId="0" fontId="61" fillId="0" borderId="0" xfId="0" applyFont="1" applyFill="1" applyBorder="1" applyAlignment="1">
      <alignment horizontal="left" vertical="center" wrapText="1"/>
    </xf>
    <xf numFmtId="190" fontId="61" fillId="0" borderId="10" xfId="0" applyNumberFormat="1" applyFont="1" applyBorder="1" applyAlignment="1">
      <alignment horizontal="center"/>
    </xf>
    <xf numFmtId="4" fontId="0" fillId="0" borderId="0" xfId="0" applyNumberFormat="1" applyAlignment="1">
      <alignment/>
    </xf>
    <xf numFmtId="4" fontId="63" fillId="0" borderId="10" xfId="0" applyNumberFormat="1" applyFont="1" applyBorder="1" applyAlignment="1">
      <alignment horizontal="center"/>
    </xf>
    <xf numFmtId="4" fontId="64" fillId="0" borderId="10" xfId="0" applyNumberFormat="1" applyFont="1" applyBorder="1" applyAlignment="1">
      <alignment horizontal="center"/>
    </xf>
    <xf numFmtId="0" fontId="3" fillId="0" borderId="0" xfId="0" applyFont="1" applyAlignment="1">
      <alignment/>
    </xf>
    <xf numFmtId="2" fontId="62" fillId="0" borderId="10" xfId="0" applyNumberFormat="1" applyFont="1" applyFill="1" applyBorder="1" applyAlignment="1">
      <alignment wrapText="1"/>
    </xf>
    <xf numFmtId="0" fontId="61" fillId="0" borderId="10" xfId="0" applyFont="1" applyBorder="1" applyAlignment="1">
      <alignment vertical="center" wrapText="1"/>
    </xf>
    <xf numFmtId="2" fontId="61" fillId="0" borderId="10" xfId="0" applyNumberFormat="1" applyFont="1" applyBorder="1" applyAlignment="1">
      <alignment vertical="center" wrapText="1"/>
    </xf>
    <xf numFmtId="0" fontId="61" fillId="0" borderId="10" xfId="0" applyFont="1" applyBorder="1" applyAlignment="1">
      <alignment vertical="center"/>
    </xf>
    <xf numFmtId="4" fontId="61" fillId="0" borderId="0" xfId="0" applyNumberFormat="1" applyFont="1" applyAlignment="1">
      <alignment/>
    </xf>
    <xf numFmtId="4" fontId="61" fillId="0" borderId="10" xfId="0" applyNumberFormat="1" applyFont="1" applyFill="1" applyBorder="1" applyAlignment="1">
      <alignment horizontal="center"/>
    </xf>
    <xf numFmtId="4" fontId="62" fillId="0" borderId="10" xfId="0" applyNumberFormat="1" applyFont="1" applyFill="1" applyBorder="1" applyAlignment="1">
      <alignment horizontal="center"/>
    </xf>
    <xf numFmtId="0" fontId="62" fillId="0" borderId="10" xfId="0" applyFont="1" applyFill="1" applyBorder="1" applyAlignment="1">
      <alignment/>
    </xf>
    <xf numFmtId="0" fontId="62" fillId="0" borderId="10" xfId="0" applyFont="1" applyFill="1" applyBorder="1" applyAlignment="1">
      <alignment horizontal="right" wrapText="1"/>
    </xf>
    <xf numFmtId="0" fontId="61" fillId="0" borderId="10" xfId="0" applyFont="1" applyFill="1" applyBorder="1" applyAlignment="1">
      <alignment horizontal="center" wrapText="1"/>
    </xf>
    <xf numFmtId="4" fontId="34" fillId="0" borderId="0" xfId="0" applyNumberFormat="1" applyFont="1" applyAlignment="1">
      <alignment/>
    </xf>
    <xf numFmtId="4" fontId="42" fillId="0" borderId="0" xfId="0" applyNumberFormat="1" applyFont="1" applyAlignment="1">
      <alignment/>
    </xf>
    <xf numFmtId="4" fontId="65" fillId="0" borderId="0" xfId="0" applyNumberFormat="1" applyFont="1" applyAlignment="1">
      <alignment/>
    </xf>
    <xf numFmtId="0" fontId="3" fillId="0" borderId="10" xfId="0" applyFont="1" applyFill="1" applyBorder="1" applyAlignment="1">
      <alignment wrapText="1"/>
    </xf>
    <xf numFmtId="0" fontId="3" fillId="0" borderId="10" xfId="0" applyFont="1" applyFill="1" applyBorder="1" applyAlignment="1">
      <alignment horizontal="center"/>
    </xf>
    <xf numFmtId="9" fontId="0" fillId="0" borderId="0" xfId="56" applyFont="1" applyAlignment="1">
      <alignment/>
    </xf>
    <xf numFmtId="0" fontId="61" fillId="0" borderId="13" xfId="0" applyFont="1" applyBorder="1" applyAlignment="1">
      <alignment vertical="top" wrapText="1"/>
    </xf>
    <xf numFmtId="0" fontId="61" fillId="0" borderId="0" xfId="0" applyFont="1" applyAlignment="1">
      <alignment horizontal="right"/>
    </xf>
    <xf numFmtId="2" fontId="61" fillId="0" borderId="10" xfId="0" applyNumberFormat="1" applyFont="1" applyBorder="1" applyAlignment="1">
      <alignment vertical="center"/>
    </xf>
    <xf numFmtId="1" fontId="61" fillId="0" borderId="10" xfId="0" applyNumberFormat="1" applyFont="1" applyBorder="1" applyAlignment="1">
      <alignment vertical="center"/>
    </xf>
    <xf numFmtId="0" fontId="66" fillId="0" borderId="10" xfId="0" applyFont="1" applyFill="1" applyBorder="1" applyAlignment="1">
      <alignment horizontal="center" vertical="center" wrapText="1"/>
    </xf>
    <xf numFmtId="0" fontId="66" fillId="0" borderId="10" xfId="0" applyFont="1" applyFill="1" applyBorder="1" applyAlignment="1">
      <alignment vertical="center" wrapText="1"/>
    </xf>
    <xf numFmtId="0" fontId="61" fillId="0" borderId="10" xfId="0" applyFont="1" applyFill="1" applyBorder="1" applyAlignment="1">
      <alignment horizontal="left" wrapText="1"/>
    </xf>
    <xf numFmtId="2" fontId="3" fillId="0" borderId="10" xfId="0" applyNumberFormat="1" applyFont="1" applyBorder="1" applyAlignment="1">
      <alignment horizontal="right" vertical="center" wrapText="1"/>
    </xf>
    <xf numFmtId="0" fontId="3" fillId="0" borderId="10" xfId="0" applyFont="1" applyBorder="1" applyAlignment="1">
      <alignment horizontal="right" vertical="center" wrapText="1"/>
    </xf>
    <xf numFmtId="182" fontId="3" fillId="0" borderId="10" xfId="0" applyNumberFormat="1" applyFont="1" applyBorder="1" applyAlignment="1">
      <alignment horizontal="right" vertical="center"/>
    </xf>
    <xf numFmtId="0" fontId="3" fillId="0" borderId="10" xfId="0" applyFont="1" applyBorder="1" applyAlignment="1">
      <alignment horizontal="right" vertical="center"/>
    </xf>
    <xf numFmtId="3" fontId="66" fillId="0" borderId="10" xfId="0" applyNumberFormat="1" applyFont="1" applyFill="1" applyBorder="1" applyAlignment="1">
      <alignment horizontal="center" vertical="center" wrapText="1"/>
    </xf>
    <xf numFmtId="3" fontId="66" fillId="0" borderId="10" xfId="0" applyNumberFormat="1" applyFont="1" applyFill="1" applyBorder="1" applyAlignment="1">
      <alignment horizontal="center" vertical="center"/>
    </xf>
    <xf numFmtId="4" fontId="63" fillId="0" borderId="0" xfId="0" applyNumberFormat="1" applyFont="1" applyBorder="1" applyAlignment="1">
      <alignment horizontal="center"/>
    </xf>
    <xf numFmtId="3" fontId="0" fillId="0" borderId="0" xfId="0" applyNumberFormat="1" applyAlignment="1">
      <alignment/>
    </xf>
    <xf numFmtId="0" fontId="61" fillId="34" borderId="10" xfId="0" applyFont="1" applyFill="1" applyBorder="1" applyAlignment="1">
      <alignment horizontal="center" vertical="center" wrapText="1"/>
    </xf>
    <xf numFmtId="3" fontId="61" fillId="0" borderId="10" xfId="0" applyNumberFormat="1" applyFont="1" applyFill="1" applyBorder="1" applyAlignment="1">
      <alignment horizontal="center" vertical="center" wrapText="1"/>
    </xf>
    <xf numFmtId="9" fontId="67" fillId="0" borderId="10" xfId="56" applyFont="1" applyBorder="1" applyAlignment="1">
      <alignment horizontal="center"/>
    </xf>
    <xf numFmtId="0" fontId="0" fillId="0" borderId="0" xfId="0" applyFont="1" applyAlignment="1">
      <alignment/>
    </xf>
    <xf numFmtId="0" fontId="62" fillId="34" borderId="10" xfId="0" applyFont="1" applyFill="1" applyBorder="1" applyAlignment="1">
      <alignment horizontal="center" wrapText="1"/>
    </xf>
    <xf numFmtId="0" fontId="62" fillId="34" borderId="10" xfId="0" applyFont="1" applyFill="1" applyBorder="1" applyAlignment="1">
      <alignment horizontal="center"/>
    </xf>
    <xf numFmtId="0" fontId="61" fillId="34" borderId="10" xfId="0" applyFont="1" applyFill="1" applyBorder="1" applyAlignment="1">
      <alignment horizontal="center" vertical="center"/>
    </xf>
    <xf numFmtId="0" fontId="3" fillId="0" borderId="0" xfId="0" applyFont="1" applyAlignment="1">
      <alignment horizontal="right"/>
    </xf>
    <xf numFmtId="0" fontId="7" fillId="34" borderId="10" xfId="0" applyFont="1" applyFill="1" applyBorder="1" applyAlignment="1">
      <alignment horizontal="center" wrapText="1"/>
    </xf>
    <xf numFmtId="0" fontId="3" fillId="0" borderId="10" xfId="0" applyFont="1" applyBorder="1" applyAlignment="1">
      <alignment/>
    </xf>
    <xf numFmtId="0" fontId="3" fillId="33" borderId="10" xfId="0" applyFont="1" applyFill="1" applyBorder="1" applyAlignment="1">
      <alignment horizontal="left" vertical="center" wrapText="1"/>
    </xf>
    <xf numFmtId="0" fontId="3" fillId="0" borderId="10" xfId="0" applyFont="1" applyFill="1" applyBorder="1" applyAlignment="1">
      <alignment/>
    </xf>
    <xf numFmtId="4" fontId="3" fillId="0" borderId="10" xfId="0" applyNumberFormat="1" applyFont="1" applyBorder="1" applyAlignment="1">
      <alignment/>
    </xf>
    <xf numFmtId="0" fontId="3" fillId="0" borderId="14" xfId="0" applyFont="1" applyBorder="1" applyAlignment="1">
      <alignment wrapText="1"/>
    </xf>
    <xf numFmtId="4" fontId="7" fillId="0" borderId="10" xfId="0" applyNumberFormat="1" applyFont="1" applyBorder="1" applyAlignment="1">
      <alignment horizontal="center"/>
    </xf>
    <xf numFmtId="0" fontId="3" fillId="0" borderId="15" xfId="0" applyFont="1" applyBorder="1" applyAlignment="1">
      <alignment/>
    </xf>
    <xf numFmtId="193" fontId="61" fillId="0" borderId="10" xfId="0" applyNumberFormat="1" applyFont="1" applyFill="1" applyBorder="1" applyAlignment="1">
      <alignment horizontal="center" vertical="center"/>
    </xf>
    <xf numFmtId="193" fontId="68" fillId="0" borderId="10" xfId="0" applyNumberFormat="1" applyFont="1" applyFill="1" applyBorder="1" applyAlignment="1">
      <alignment horizontal="center" vertical="center"/>
    </xf>
    <xf numFmtId="193" fontId="66" fillId="0" borderId="10" xfId="0" applyNumberFormat="1" applyFont="1" applyFill="1" applyBorder="1" applyAlignment="1">
      <alignment horizontal="center" vertical="center"/>
    </xf>
    <xf numFmtId="193" fontId="66" fillId="0" borderId="10" xfId="0" applyNumberFormat="1" applyFont="1" applyFill="1" applyBorder="1" applyAlignment="1">
      <alignment horizontal="center" vertical="center" wrapText="1"/>
    </xf>
    <xf numFmtId="0" fontId="61" fillId="34" borderId="10" xfId="0" applyFont="1" applyFill="1" applyBorder="1" applyAlignment="1">
      <alignment horizontal="center" vertical="center" wrapText="1"/>
    </xf>
    <xf numFmtId="0" fontId="61" fillId="0" borderId="0" xfId="0" applyFont="1" applyAlignment="1">
      <alignment horizontal="right"/>
    </xf>
    <xf numFmtId="0" fontId="62" fillId="0" borderId="10" xfId="0" applyFont="1" applyBorder="1" applyAlignment="1">
      <alignment wrapText="1"/>
    </xf>
    <xf numFmtId="4" fontId="61" fillId="35" borderId="10" xfId="0" applyNumberFormat="1" applyFont="1" applyFill="1" applyBorder="1" applyAlignment="1">
      <alignment horizontal="center"/>
    </xf>
    <xf numFmtId="0" fontId="0" fillId="3" borderId="0" xfId="0" applyFill="1" applyAlignment="1">
      <alignment/>
    </xf>
    <xf numFmtId="0" fontId="61" fillId="3" borderId="10" xfId="0" applyFont="1" applyFill="1" applyBorder="1" applyAlignment="1">
      <alignment horizontal="center" vertical="center" wrapText="1"/>
    </xf>
    <xf numFmtId="4" fontId="62" fillId="3" borderId="10" xfId="0" applyNumberFormat="1" applyFont="1" applyFill="1" applyBorder="1" applyAlignment="1">
      <alignment horizontal="center"/>
    </xf>
    <xf numFmtId="4" fontId="61" fillId="3" borderId="10" xfId="0" applyNumberFormat="1" applyFont="1" applyFill="1" applyBorder="1" applyAlignment="1">
      <alignment horizontal="center"/>
    </xf>
    <xf numFmtId="4" fontId="61" fillId="36" borderId="10" xfId="0" applyNumberFormat="1" applyFont="1" applyFill="1" applyBorder="1" applyAlignment="1">
      <alignment horizontal="center"/>
    </xf>
    <xf numFmtId="0" fontId="61" fillId="3" borderId="10" xfId="0" applyFont="1" applyFill="1" applyBorder="1" applyAlignment="1">
      <alignment vertical="center" wrapText="1"/>
    </xf>
    <xf numFmtId="0" fontId="61" fillId="34" borderId="14" xfId="0" applyFont="1" applyFill="1" applyBorder="1" applyAlignment="1">
      <alignment vertical="center" wrapText="1"/>
    </xf>
    <xf numFmtId="0" fontId="61" fillId="34" borderId="13" xfId="0" applyFont="1" applyFill="1" applyBorder="1" applyAlignment="1">
      <alignment vertical="center" wrapText="1"/>
    </xf>
    <xf numFmtId="3" fontId="3" fillId="0" borderId="10" xfId="0" applyNumberFormat="1" applyFont="1" applyFill="1" applyBorder="1" applyAlignment="1">
      <alignment/>
    </xf>
    <xf numFmtId="2" fontId="3" fillId="0" borderId="10" xfId="0" applyNumberFormat="1" applyFont="1" applyFill="1" applyBorder="1" applyAlignment="1">
      <alignment/>
    </xf>
    <xf numFmtId="0" fontId="67" fillId="0" borderId="0" xfId="0" applyFont="1" applyAlignment="1">
      <alignment/>
    </xf>
    <xf numFmtId="0" fontId="62" fillId="37" borderId="10" xfId="0" applyNumberFormat="1" applyFont="1" applyFill="1" applyBorder="1" applyAlignment="1">
      <alignment horizontal="center"/>
    </xf>
    <xf numFmtId="0" fontId="3" fillId="33" borderId="10" xfId="35" applyFont="1" applyFill="1" applyBorder="1" applyAlignment="1">
      <alignment horizontal="right"/>
    </xf>
    <xf numFmtId="0" fontId="66" fillId="33" borderId="10" xfId="0" applyFont="1" applyFill="1" applyBorder="1" applyAlignment="1">
      <alignment horizontal="center" vertical="center"/>
    </xf>
    <xf numFmtId="0" fontId="61" fillId="33" borderId="10"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3" fillId="0" borderId="10" xfId="0" applyFont="1" applyFill="1" applyBorder="1" applyAlignment="1">
      <alignment horizontal="left" vertical="top" wrapText="1"/>
    </xf>
    <xf numFmtId="0" fontId="61" fillId="0" borderId="10" xfId="0" applyFont="1" applyBorder="1" applyAlignment="1">
      <alignment horizontal="left" vertical="top" wrapText="1"/>
    </xf>
    <xf numFmtId="0" fontId="0" fillId="0" borderId="0" xfId="0" applyAlignment="1">
      <alignment horizontal="center"/>
    </xf>
    <xf numFmtId="4" fontId="45" fillId="38" borderId="0" xfId="0" applyNumberFormat="1" applyFont="1" applyFill="1" applyAlignment="1">
      <alignment/>
    </xf>
    <xf numFmtId="4" fontId="48" fillId="0" borderId="0" xfId="0" applyNumberFormat="1" applyFont="1" applyAlignment="1">
      <alignment/>
    </xf>
    <xf numFmtId="0" fontId="0" fillId="0" borderId="0" xfId="0" applyAlignment="1">
      <alignment horizontal="right" vertical="center"/>
    </xf>
    <xf numFmtId="1" fontId="0" fillId="0" borderId="0" xfId="0" applyNumberFormat="1" applyAlignment="1">
      <alignment/>
    </xf>
    <xf numFmtId="0" fontId="0" fillId="0" borderId="0" xfId="0" applyAlignment="1">
      <alignment wrapText="1"/>
    </xf>
    <xf numFmtId="0" fontId="34" fillId="39" borderId="0" xfId="0" applyFont="1" applyFill="1" applyAlignment="1">
      <alignment/>
    </xf>
    <xf numFmtId="2" fontId="3" fillId="0" borderId="14" xfId="0" applyNumberFormat="1" applyFont="1" applyFill="1" applyBorder="1" applyAlignment="1">
      <alignment/>
    </xf>
    <xf numFmtId="3" fontId="3" fillId="0" borderId="10" xfId="0" applyNumberFormat="1" applyFont="1" applyBorder="1" applyAlignment="1">
      <alignment/>
    </xf>
    <xf numFmtId="0" fontId="3" fillId="0" borderId="13" xfId="0" applyFont="1" applyBorder="1" applyAlignment="1">
      <alignment horizontal="left" vertical="top" wrapText="1"/>
    </xf>
    <xf numFmtId="2" fontId="3" fillId="0" borderId="16" xfId="0" applyNumberFormat="1" applyFont="1" applyFill="1" applyBorder="1" applyAlignment="1">
      <alignment horizontal="center"/>
    </xf>
    <xf numFmtId="4" fontId="64" fillId="0" borderId="10" xfId="0" applyNumberFormat="1" applyFont="1" applyFill="1" applyBorder="1" applyAlignment="1">
      <alignment horizontal="center"/>
    </xf>
    <xf numFmtId="2" fontId="34" fillId="0" borderId="0" xfId="0" applyNumberFormat="1" applyFont="1" applyAlignment="1">
      <alignment/>
    </xf>
    <xf numFmtId="0" fontId="61" fillId="34" borderId="10" xfId="0" applyFont="1" applyFill="1" applyBorder="1" applyAlignment="1">
      <alignment horizontal="center" vertical="center" wrapText="1"/>
    </xf>
    <xf numFmtId="2" fontId="3" fillId="0" borderId="14" xfId="0" applyNumberFormat="1" applyFont="1" applyFill="1" applyBorder="1" applyAlignment="1">
      <alignment horizontal="center"/>
    </xf>
    <xf numFmtId="0" fontId="61" fillId="0" borderId="10" xfId="0" applyFont="1" applyBorder="1" applyAlignment="1">
      <alignment horizontal="center" vertical="center" wrapText="1"/>
    </xf>
    <xf numFmtId="0" fontId="61" fillId="0" borderId="10" xfId="0" applyFont="1" applyBorder="1" applyAlignment="1">
      <alignment horizontal="center" wrapText="1"/>
    </xf>
    <xf numFmtId="0" fontId="3" fillId="0" borderId="14" xfId="0" applyFont="1" applyFill="1" applyBorder="1" applyAlignment="1">
      <alignment horizontal="center"/>
    </xf>
    <xf numFmtId="4" fontId="62" fillId="13" borderId="10" xfId="0" applyNumberFormat="1" applyFont="1" applyFill="1" applyBorder="1" applyAlignment="1">
      <alignment horizontal="center"/>
    </xf>
    <xf numFmtId="3" fontId="3" fillId="0" borderId="14" xfId="0" applyNumberFormat="1" applyFont="1" applyFill="1" applyBorder="1" applyAlignment="1">
      <alignment horizontal="center"/>
    </xf>
    <xf numFmtId="3"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xf>
    <xf numFmtId="3" fontId="3" fillId="0" borderId="10" xfId="0" applyNumberFormat="1" applyFont="1" applyFill="1" applyBorder="1" applyAlignment="1">
      <alignment horizontal="center"/>
    </xf>
    <xf numFmtId="3" fontId="7" fillId="0" borderId="10" xfId="0" applyNumberFormat="1" applyFont="1" applyFill="1" applyBorder="1" applyAlignment="1">
      <alignment horizontal="center"/>
    </xf>
    <xf numFmtId="4" fontId="7" fillId="0" borderId="10" xfId="0" applyNumberFormat="1" applyFont="1" applyFill="1" applyBorder="1" applyAlignment="1">
      <alignment horizontal="center"/>
    </xf>
    <xf numFmtId="0" fontId="3" fillId="0" borderId="10" xfId="0" applyFont="1" applyFill="1" applyBorder="1" applyAlignment="1">
      <alignment horizontal="center" wrapText="1"/>
    </xf>
    <xf numFmtId="4" fontId="3" fillId="0" borderId="10" xfId="0" applyNumberFormat="1" applyFont="1" applyFill="1" applyBorder="1" applyAlignment="1">
      <alignment/>
    </xf>
    <xf numFmtId="0" fontId="3" fillId="0" borderId="14"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4" xfId="0" applyFont="1" applyFill="1" applyBorder="1" applyAlignment="1">
      <alignment wrapText="1"/>
    </xf>
    <xf numFmtId="3" fontId="3" fillId="0" borderId="14" xfId="0" applyNumberFormat="1" applyFont="1" applyFill="1" applyBorder="1" applyAlignment="1">
      <alignment/>
    </xf>
    <xf numFmtId="0" fontId="3" fillId="0" borderId="14" xfId="0" applyFont="1" applyFill="1" applyBorder="1" applyAlignment="1">
      <alignment/>
    </xf>
    <xf numFmtId="0" fontId="3" fillId="0" borderId="13" xfId="0" applyFont="1" applyFill="1" applyBorder="1" applyAlignment="1">
      <alignment horizontal="left" vertical="top" wrapText="1"/>
    </xf>
    <xf numFmtId="0" fontId="3" fillId="0" borderId="13" xfId="0" applyFont="1" applyFill="1" applyBorder="1" applyAlignment="1">
      <alignment horizontal="center" vertical="center" wrapText="1"/>
    </xf>
    <xf numFmtId="4" fontId="3" fillId="0" borderId="10" xfId="0" applyNumberFormat="1" applyFont="1" applyFill="1" applyBorder="1" applyAlignment="1">
      <alignment/>
    </xf>
    <xf numFmtId="0" fontId="3" fillId="0" borderId="16" xfId="0" applyFont="1" applyFill="1" applyBorder="1" applyAlignment="1">
      <alignment horizontal="center"/>
    </xf>
    <xf numFmtId="0" fontId="3" fillId="0" borderId="10" xfId="0" applyFont="1" applyFill="1" applyBorder="1" applyAlignment="1">
      <alignment horizontal="left" vertical="center" wrapText="1"/>
    </xf>
    <xf numFmtId="2" fontId="3" fillId="0" borderId="10" xfId="0" applyNumberFormat="1" applyFont="1" applyFill="1" applyBorder="1" applyAlignment="1">
      <alignment/>
    </xf>
    <xf numFmtId="2" fontId="14" fillId="0" borderId="10" xfId="0" applyNumberFormat="1" applyFont="1" applyBorder="1" applyAlignment="1">
      <alignment horizontal="center" vertical="center"/>
    </xf>
    <xf numFmtId="0" fontId="14"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14" fillId="0" borderId="12" xfId="0" applyFont="1" applyBorder="1" applyAlignment="1">
      <alignment horizontal="center" vertical="center"/>
    </xf>
    <xf numFmtId="2" fontId="3" fillId="0" borderId="10" xfId="0" applyNumberFormat="1" applyFont="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vertical="center"/>
    </xf>
    <xf numFmtId="0" fontId="3" fillId="0" borderId="14" xfId="0" applyFont="1" applyBorder="1" applyAlignment="1">
      <alignment vertical="center" wrapText="1"/>
    </xf>
    <xf numFmtId="0" fontId="3" fillId="0" borderId="14" xfId="0" applyFont="1" applyBorder="1" applyAlignment="1">
      <alignment/>
    </xf>
    <xf numFmtId="0" fontId="3" fillId="0" borderId="14" xfId="0" applyFont="1" applyBorder="1" applyAlignment="1">
      <alignment vertical="center"/>
    </xf>
    <xf numFmtId="2" fontId="3" fillId="0" borderId="10" xfId="0" applyNumberFormat="1" applyFont="1" applyBorder="1" applyAlignment="1">
      <alignment vertical="center"/>
    </xf>
    <xf numFmtId="0" fontId="3" fillId="33" borderId="10" xfId="35" applyFont="1" applyFill="1" applyBorder="1" applyAlignment="1">
      <alignment horizontal="left"/>
    </xf>
    <xf numFmtId="0" fontId="3" fillId="33" borderId="12" xfId="35" applyFont="1" applyFill="1" applyBorder="1" applyAlignment="1">
      <alignment horizontal="left" wrapText="1"/>
    </xf>
    <xf numFmtId="0" fontId="3" fillId="33" borderId="17" xfId="35" applyFont="1" applyFill="1" applyBorder="1" applyAlignment="1">
      <alignment horizontal="left" wrapText="1"/>
    </xf>
    <xf numFmtId="0" fontId="3" fillId="33" borderId="18" xfId="35" applyFont="1" applyFill="1" applyBorder="1" applyAlignment="1">
      <alignment horizontal="left" wrapText="1"/>
    </xf>
    <xf numFmtId="0" fontId="5" fillId="0" borderId="19" xfId="0" applyFont="1" applyBorder="1" applyAlignment="1">
      <alignment horizontal="center"/>
    </xf>
    <xf numFmtId="0" fontId="2" fillId="0" borderId="0" xfId="0" applyFont="1" applyAlignment="1">
      <alignment horizontal="right" wrapText="1"/>
    </xf>
    <xf numFmtId="0" fontId="3" fillId="0" borderId="0" xfId="0" applyFont="1" applyAlignment="1">
      <alignment horizontal="right" wrapText="1"/>
    </xf>
    <xf numFmtId="0" fontId="4" fillId="0" borderId="0" xfId="0" applyFont="1" applyAlignment="1">
      <alignment horizontal="center" wrapText="1"/>
    </xf>
    <xf numFmtId="0" fontId="69" fillId="14" borderId="10" xfId="0" applyFont="1" applyFill="1" applyBorder="1" applyAlignment="1">
      <alignment horizontal="center"/>
    </xf>
    <xf numFmtId="0" fontId="3" fillId="0" borderId="12" xfId="35" applyFont="1" applyBorder="1" applyAlignment="1">
      <alignment horizontal="left" wrapText="1"/>
    </xf>
    <xf numFmtId="0" fontId="3" fillId="0" borderId="17" xfId="35" applyFont="1" applyBorder="1" applyAlignment="1">
      <alignment horizontal="left" wrapText="1"/>
    </xf>
    <xf numFmtId="0" fontId="3" fillId="0" borderId="18" xfId="35" applyFont="1" applyBorder="1" applyAlignment="1">
      <alignment horizontal="left" wrapText="1"/>
    </xf>
    <xf numFmtId="0" fontId="3" fillId="33" borderId="12" xfId="35" applyFont="1" applyFill="1" applyBorder="1" applyAlignment="1">
      <alignment horizontal="left"/>
    </xf>
    <xf numFmtId="0" fontId="3" fillId="33" borderId="17" xfId="35" applyFont="1" applyFill="1" applyBorder="1" applyAlignment="1">
      <alignment horizontal="left"/>
    </xf>
    <xf numFmtId="0" fontId="3" fillId="33" borderId="18" xfId="35" applyFont="1" applyFill="1" applyBorder="1" applyAlignment="1">
      <alignment horizontal="left"/>
    </xf>
    <xf numFmtId="0" fontId="3" fillId="0" borderId="10" xfId="35" applyFont="1" applyBorder="1" applyAlignment="1">
      <alignment horizontal="left"/>
    </xf>
    <xf numFmtId="0" fontId="62" fillId="0" borderId="12" xfId="0" applyFont="1" applyFill="1" applyBorder="1" applyAlignment="1">
      <alignment horizontal="left" wrapText="1"/>
    </xf>
    <xf numFmtId="0" fontId="62" fillId="0" borderId="17" xfId="0" applyFont="1" applyFill="1" applyBorder="1" applyAlignment="1">
      <alignment horizontal="left" wrapText="1"/>
    </xf>
    <xf numFmtId="0" fontId="62" fillId="0" borderId="18" xfId="0" applyFont="1" applyFill="1" applyBorder="1" applyAlignment="1">
      <alignment horizontal="left" wrapText="1"/>
    </xf>
    <xf numFmtId="0" fontId="61" fillId="34" borderId="10" xfId="0" applyFont="1" applyFill="1" applyBorder="1" applyAlignment="1">
      <alignment horizontal="center" vertical="center"/>
    </xf>
    <xf numFmtId="0" fontId="61" fillId="34" borderId="10" xfId="0" applyFont="1" applyFill="1" applyBorder="1" applyAlignment="1">
      <alignment horizontal="center" vertical="center" wrapText="1"/>
    </xf>
    <xf numFmtId="0" fontId="61" fillId="0" borderId="0" xfId="0" applyFont="1" applyAlignment="1">
      <alignment horizontal="left" wrapText="1"/>
    </xf>
    <xf numFmtId="0" fontId="64" fillId="0" borderId="14"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3" xfId="0" applyFont="1" applyBorder="1" applyAlignment="1">
      <alignment horizontal="center" vertical="center" wrapText="1"/>
    </xf>
    <xf numFmtId="0" fontId="61" fillId="0" borderId="0" xfId="0" applyFont="1" applyAlignment="1">
      <alignment horizontal="right"/>
    </xf>
    <xf numFmtId="0" fontId="62" fillId="0" borderId="0" xfId="0" applyFont="1" applyAlignment="1">
      <alignment horizontal="center"/>
    </xf>
    <xf numFmtId="0" fontId="3" fillId="0" borderId="0" xfId="0" applyFont="1" applyAlignment="1">
      <alignment horizontal="left" wrapText="1"/>
    </xf>
    <xf numFmtId="0" fontId="61" fillId="0" borderId="0" xfId="0" applyFont="1" applyAlignment="1">
      <alignment horizontal="center" wrapText="1"/>
    </xf>
    <xf numFmtId="0" fontId="61" fillId="34" borderId="14" xfId="0" applyFont="1" applyFill="1" applyBorder="1" applyAlignment="1">
      <alignment horizontal="center" vertical="center" wrapText="1"/>
    </xf>
    <xf numFmtId="0" fontId="61" fillId="34" borderId="16" xfId="0" applyFont="1" applyFill="1" applyBorder="1" applyAlignment="1">
      <alignment horizontal="center" vertical="center" wrapText="1"/>
    </xf>
    <xf numFmtId="0" fontId="61" fillId="34" borderId="13" xfId="0" applyFont="1" applyFill="1" applyBorder="1" applyAlignment="1">
      <alignment horizontal="center" vertical="center" wrapText="1"/>
    </xf>
    <xf numFmtId="0" fontId="61" fillId="34" borderId="20" xfId="0" applyFont="1" applyFill="1" applyBorder="1" applyAlignment="1">
      <alignment horizontal="center" vertical="center" wrapText="1"/>
    </xf>
    <xf numFmtId="0" fontId="61" fillId="34" borderId="21" xfId="0" applyFont="1" applyFill="1" applyBorder="1" applyAlignment="1">
      <alignment horizontal="center" vertical="center" wrapText="1"/>
    </xf>
    <xf numFmtId="0" fontId="61" fillId="34" borderId="11" xfId="0" applyFont="1" applyFill="1" applyBorder="1" applyAlignment="1">
      <alignment horizontal="center" vertical="center" wrapText="1"/>
    </xf>
    <xf numFmtId="0" fontId="61" fillId="34" borderId="22" xfId="0" applyFont="1" applyFill="1" applyBorder="1" applyAlignment="1">
      <alignment horizontal="center" vertical="center" wrapText="1"/>
    </xf>
    <xf numFmtId="0" fontId="7" fillId="34" borderId="12" xfId="0" applyFont="1" applyFill="1" applyBorder="1" applyAlignment="1">
      <alignment horizontal="center" wrapText="1"/>
    </xf>
    <xf numFmtId="0" fontId="7" fillId="34" borderId="18" xfId="0" applyFont="1" applyFill="1" applyBorder="1" applyAlignment="1">
      <alignment horizontal="center" wrapText="1"/>
    </xf>
    <xf numFmtId="0" fontId="7" fillId="34" borderId="14" xfId="0" applyFont="1" applyFill="1" applyBorder="1" applyAlignment="1">
      <alignment horizontal="center" wrapText="1"/>
    </xf>
    <xf numFmtId="0" fontId="7" fillId="34" borderId="13" xfId="0" applyFont="1" applyFill="1" applyBorder="1" applyAlignment="1">
      <alignment horizontal="center"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Fill="1" applyBorder="1" applyAlignment="1">
      <alignment horizontal="center"/>
    </xf>
    <xf numFmtId="0" fontId="3" fillId="0" borderId="13" xfId="0" applyFont="1" applyFill="1" applyBorder="1" applyAlignment="1">
      <alignment horizontal="center"/>
    </xf>
    <xf numFmtId="2" fontId="3" fillId="0" borderId="14" xfId="0" applyNumberFormat="1" applyFont="1" applyFill="1" applyBorder="1" applyAlignment="1">
      <alignment horizontal="center"/>
    </xf>
    <xf numFmtId="2" fontId="3" fillId="0" borderId="13" xfId="0" applyNumberFormat="1" applyFont="1" applyFill="1" applyBorder="1" applyAlignment="1">
      <alignment horizont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7" fillId="0" borderId="0" xfId="0" applyFont="1" applyAlignment="1">
      <alignment horizontal="center"/>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7" fillId="34" borderId="14" xfId="0" applyFont="1" applyFill="1" applyBorder="1" applyAlignment="1">
      <alignment horizontal="center"/>
    </xf>
    <xf numFmtId="0" fontId="7" fillId="34" borderId="13" xfId="0" applyFont="1" applyFill="1" applyBorder="1" applyAlignment="1">
      <alignment horizontal="center"/>
    </xf>
    <xf numFmtId="0" fontId="7" fillId="0" borderId="12" xfId="0" applyFont="1" applyBorder="1" applyAlignment="1">
      <alignment horizontal="right"/>
    </xf>
    <xf numFmtId="0" fontId="7" fillId="0" borderId="17" xfId="0" applyFont="1" applyBorder="1" applyAlignment="1">
      <alignment horizontal="right"/>
    </xf>
    <xf numFmtId="0" fontId="7" fillId="0" borderId="18" xfId="0" applyFont="1" applyBorder="1" applyAlignment="1">
      <alignment horizontal="right"/>
    </xf>
    <xf numFmtId="0" fontId="62" fillId="0" borderId="0" xfId="0" applyFont="1" applyAlignment="1">
      <alignment horizontal="center" wrapText="1"/>
    </xf>
    <xf numFmtId="0" fontId="14" fillId="0" borderId="14" xfId="0" applyFont="1" applyBorder="1" applyAlignment="1">
      <alignment horizontal="center" vertical="top" wrapText="1"/>
    </xf>
    <xf numFmtId="0" fontId="14" fillId="0" borderId="16" xfId="0" applyFont="1" applyBorder="1" applyAlignment="1">
      <alignment horizontal="center" vertical="top" wrapText="1"/>
    </xf>
    <xf numFmtId="0" fontId="14" fillId="0" borderId="13" xfId="0" applyFont="1" applyBorder="1" applyAlignment="1">
      <alignment horizontal="center" vertical="top" wrapText="1"/>
    </xf>
    <xf numFmtId="2" fontId="14" fillId="0" borderId="10" xfId="0" applyNumberFormat="1" applyFont="1" applyBorder="1" applyAlignment="1">
      <alignment horizontal="center" vertical="center"/>
    </xf>
    <xf numFmtId="0" fontId="14" fillId="0" borderId="10" xfId="0" applyFont="1" applyBorder="1" applyAlignment="1">
      <alignment horizontal="center" vertical="center"/>
    </xf>
    <xf numFmtId="0" fontId="14" fillId="0" borderId="10" xfId="0" applyFont="1" applyBorder="1" applyAlignment="1">
      <alignment horizontal="center" vertical="top" wrapText="1"/>
    </xf>
    <xf numFmtId="2" fontId="61" fillId="0" borderId="14" xfId="0" applyNumberFormat="1" applyFont="1" applyBorder="1" applyAlignment="1">
      <alignment horizontal="left" vertical="top" wrapText="1"/>
    </xf>
    <xf numFmtId="2" fontId="62" fillId="0" borderId="16" xfId="0" applyNumberFormat="1" applyFont="1" applyBorder="1" applyAlignment="1">
      <alignment horizontal="left" vertical="top" wrapText="1"/>
    </xf>
    <xf numFmtId="2" fontId="62" fillId="0" borderId="13" xfId="0" applyNumberFormat="1" applyFont="1" applyBorder="1" applyAlignment="1">
      <alignment horizontal="left" vertical="top" wrapText="1"/>
    </xf>
    <xf numFmtId="0" fontId="61" fillId="0" borderId="14"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4" xfId="0" applyFont="1" applyBorder="1" applyAlignment="1">
      <alignment horizontal="left" vertical="center" wrapText="1"/>
    </xf>
    <xf numFmtId="0" fontId="61" fillId="0" borderId="16" xfId="0" applyFont="1" applyBorder="1" applyAlignment="1">
      <alignment horizontal="left" vertical="center" wrapText="1"/>
    </xf>
    <xf numFmtId="0" fontId="61" fillId="0" borderId="13" xfId="0" applyFont="1" applyBorder="1" applyAlignment="1">
      <alignment horizontal="left" vertical="center" wrapText="1"/>
    </xf>
    <xf numFmtId="2" fontId="3" fillId="0" borderId="14" xfId="0" applyNumberFormat="1" applyFont="1" applyBorder="1" applyAlignment="1">
      <alignment horizontal="center" vertical="center"/>
    </xf>
    <xf numFmtId="2" fontId="3" fillId="0" borderId="16" xfId="0" applyNumberFormat="1" applyFont="1" applyBorder="1" applyAlignment="1">
      <alignment horizontal="center" vertical="center"/>
    </xf>
    <xf numFmtId="2" fontId="3" fillId="0" borderId="13" xfId="0" applyNumberFormat="1" applyFont="1" applyBorder="1" applyAlignment="1">
      <alignment horizontal="center" vertical="center"/>
    </xf>
    <xf numFmtId="2" fontId="61" fillId="0" borderId="14" xfId="0" applyNumberFormat="1" applyFont="1" applyBorder="1" applyAlignment="1">
      <alignment horizontal="left" vertical="center" wrapText="1"/>
    </xf>
    <xf numFmtId="2" fontId="61" fillId="0" borderId="16" xfId="0" applyNumberFormat="1" applyFont="1" applyBorder="1" applyAlignment="1">
      <alignment horizontal="left" vertical="center" wrapText="1"/>
    </xf>
    <xf numFmtId="2" fontId="61" fillId="0" borderId="13" xfId="0" applyNumberFormat="1" applyFont="1" applyBorder="1" applyAlignment="1">
      <alignment horizontal="left" vertical="center" wrapText="1"/>
    </xf>
    <xf numFmtId="2" fontId="61" fillId="0" borderId="16" xfId="0" applyNumberFormat="1" applyFont="1" applyBorder="1" applyAlignment="1">
      <alignment horizontal="left" vertical="top" wrapText="1"/>
    </xf>
    <xf numFmtId="2" fontId="61" fillId="0" borderId="13" xfId="0" applyNumberFormat="1" applyFont="1" applyBorder="1" applyAlignment="1">
      <alignment horizontal="left" vertical="top" wrapText="1"/>
    </xf>
    <xf numFmtId="2" fontId="3" fillId="0" borderId="15" xfId="0" applyNumberFormat="1" applyFont="1" applyBorder="1" applyAlignment="1">
      <alignment horizontal="center" vertical="center"/>
    </xf>
    <xf numFmtId="2" fontId="3" fillId="0" borderId="0" xfId="0" applyNumberFormat="1" applyFont="1" applyBorder="1" applyAlignment="1">
      <alignment horizontal="center" vertical="center"/>
    </xf>
    <xf numFmtId="2" fontId="3" fillId="0" borderId="19" xfId="0" applyNumberFormat="1" applyFont="1" applyBorder="1" applyAlignment="1">
      <alignment horizontal="center" vertical="center"/>
    </xf>
    <xf numFmtId="0" fontId="70" fillId="0" borderId="10" xfId="0" applyFont="1" applyBorder="1" applyAlignment="1">
      <alignment horizontal="center" wrapText="1"/>
    </xf>
    <xf numFmtId="0" fontId="70" fillId="0" borderId="10" xfId="0" applyFont="1" applyBorder="1" applyAlignment="1">
      <alignment horizontal="center"/>
    </xf>
    <xf numFmtId="2" fontId="61" fillId="0" borderId="10" xfId="0" applyNumberFormat="1" applyFont="1" applyBorder="1" applyAlignment="1">
      <alignment horizontal="left" vertical="top" wrapText="1"/>
    </xf>
    <xf numFmtId="2" fontId="3" fillId="0" borderId="14" xfId="0" applyNumberFormat="1" applyFont="1" applyBorder="1" applyAlignment="1">
      <alignment horizontal="center" vertical="center" wrapText="1"/>
    </xf>
    <xf numFmtId="2" fontId="3" fillId="0" borderId="16"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33" borderId="14" xfId="0" applyNumberFormat="1" applyFont="1" applyFill="1" applyBorder="1" applyAlignment="1">
      <alignment horizontal="center" vertical="center"/>
    </xf>
    <xf numFmtId="2" fontId="3" fillId="33" borderId="16" xfId="0" applyNumberFormat="1" applyFont="1" applyFill="1" applyBorder="1" applyAlignment="1">
      <alignment horizontal="center" vertical="center"/>
    </xf>
    <xf numFmtId="2" fontId="3" fillId="33" borderId="13" xfId="0" applyNumberFormat="1" applyFont="1" applyFill="1" applyBorder="1" applyAlignment="1">
      <alignment horizontal="center" vertical="center"/>
    </xf>
    <xf numFmtId="2" fontId="3" fillId="0" borderId="14" xfId="0" applyNumberFormat="1" applyFont="1" applyBorder="1" applyAlignment="1">
      <alignment horizontal="left" vertical="top" wrapText="1"/>
    </xf>
    <xf numFmtId="2" fontId="3" fillId="0" borderId="16" xfId="0" applyNumberFormat="1" applyFont="1" applyBorder="1" applyAlignment="1">
      <alignment horizontal="left" vertical="top" wrapText="1"/>
    </xf>
    <xf numFmtId="2" fontId="3" fillId="0" borderId="13" xfId="0" applyNumberFormat="1" applyFont="1" applyBorder="1" applyAlignment="1">
      <alignment horizontal="left" vertical="top" wrapText="1"/>
    </xf>
    <xf numFmtId="0" fontId="61" fillId="0" borderId="0" xfId="0" applyFont="1" applyAlignment="1">
      <alignment horizontal="center" vertical="center" wrapText="1"/>
    </xf>
    <xf numFmtId="0" fontId="3" fillId="0" borderId="16" xfId="0" applyFont="1" applyBorder="1" applyAlignment="1">
      <alignment horizontal="center" vertical="center" wrapText="1"/>
    </xf>
    <xf numFmtId="0" fontId="61" fillId="0" borderId="14" xfId="0" applyFont="1" applyBorder="1" applyAlignment="1">
      <alignment horizontal="left" wrapText="1"/>
    </xf>
    <xf numFmtId="0" fontId="61" fillId="0" borderId="16" xfId="0" applyFont="1" applyBorder="1" applyAlignment="1">
      <alignment horizontal="left" wrapText="1"/>
    </xf>
    <xf numFmtId="0" fontId="61" fillId="0" borderId="13" xfId="0" applyFont="1" applyBorder="1" applyAlignment="1">
      <alignment horizontal="left" wrapText="1"/>
    </xf>
    <xf numFmtId="0" fontId="61" fillId="0" borderId="14" xfId="0" applyFont="1" applyBorder="1" applyAlignment="1">
      <alignment horizontal="center" wrapText="1"/>
    </xf>
    <xf numFmtId="0" fontId="61" fillId="0" borderId="16" xfId="0" applyFont="1" applyBorder="1" applyAlignment="1">
      <alignment horizontal="center" wrapText="1"/>
    </xf>
    <xf numFmtId="0" fontId="61" fillId="0" borderId="13" xfId="0" applyFont="1" applyBorder="1" applyAlignment="1">
      <alignment horizontal="center" wrapText="1"/>
    </xf>
    <xf numFmtId="0" fontId="62" fillId="34" borderId="10" xfId="0" applyFont="1" applyFill="1" applyBorder="1" applyAlignment="1">
      <alignment horizontal="center" wrapText="1"/>
    </xf>
    <xf numFmtId="0" fontId="62" fillId="34" borderId="14" xfId="0" applyFont="1" applyFill="1" applyBorder="1" applyAlignment="1">
      <alignment horizontal="center" wrapText="1"/>
    </xf>
    <xf numFmtId="0" fontId="62" fillId="34" borderId="16" xfId="0" applyFont="1" applyFill="1" applyBorder="1" applyAlignment="1">
      <alignment horizontal="center" wrapText="1"/>
    </xf>
    <xf numFmtId="0" fontId="62" fillId="34" borderId="1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left"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0" fillId="34" borderId="10" xfId="0" applyFont="1" applyFill="1" applyBorder="1" applyAlignment="1">
      <alignment horizontal="left" wrapText="1"/>
    </xf>
    <xf numFmtId="0" fontId="14" fillId="0" borderId="0" xfId="0" applyFont="1" applyAlignment="1">
      <alignment horizontal="left" vertical="top" wrapText="1"/>
    </xf>
    <xf numFmtId="0" fontId="67" fillId="0" borderId="0" xfId="0" applyFont="1" applyAlignment="1">
      <alignment horizontal="left" vertical="top" wrapText="1"/>
    </xf>
    <xf numFmtId="0" fontId="61" fillId="34" borderId="12" xfId="0" applyFont="1" applyFill="1" applyBorder="1" applyAlignment="1">
      <alignment horizontal="center" vertical="center" wrapText="1"/>
    </xf>
    <xf numFmtId="0" fontId="61" fillId="34" borderId="18"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7" fillId="0" borderId="12" xfId="0" applyFont="1" applyBorder="1" applyAlignment="1">
      <alignment horizontal="right"/>
    </xf>
    <xf numFmtId="0" fontId="67" fillId="0" borderId="17" xfId="0" applyFont="1" applyBorder="1" applyAlignment="1">
      <alignment horizontal="right"/>
    </xf>
    <xf numFmtId="0" fontId="67" fillId="0" borderId="18" xfId="0" applyFont="1" applyBorder="1" applyAlignment="1">
      <alignment horizontal="right"/>
    </xf>
    <xf numFmtId="0" fontId="0" fillId="0" borderId="0" xfId="0" applyAlignment="1">
      <alignment horizontal="center"/>
    </xf>
    <xf numFmtId="0" fontId="66" fillId="0" borderId="10" xfId="0" applyFont="1" applyFill="1" applyBorder="1" applyAlignment="1">
      <alignment horizontal="right" vertical="center" wrapText="1"/>
    </xf>
    <xf numFmtId="0" fontId="68" fillId="0" borderId="10" xfId="0" applyFont="1" applyFill="1" applyBorder="1" applyAlignment="1">
      <alignment horizontal="right" vertical="center" wrapText="1"/>
    </xf>
    <xf numFmtId="0" fontId="68" fillId="0" borderId="12" xfId="0" applyFont="1" applyFill="1" applyBorder="1" applyAlignment="1">
      <alignment horizontal="left" vertical="center" wrapText="1"/>
    </xf>
    <xf numFmtId="0" fontId="68" fillId="0" borderId="17" xfId="0" applyFont="1" applyFill="1" applyBorder="1" applyAlignment="1">
      <alignment horizontal="left" vertical="center" wrapText="1"/>
    </xf>
    <xf numFmtId="0" fontId="68" fillId="0" borderId="18" xfId="0" applyFont="1" applyFill="1" applyBorder="1" applyAlignment="1">
      <alignment horizontal="left" vertical="center" wrapText="1"/>
    </xf>
    <xf numFmtId="0" fontId="68" fillId="0" borderId="12" xfId="0" applyFont="1" applyFill="1" applyBorder="1" applyAlignment="1">
      <alignment horizontal="left" vertical="center"/>
    </xf>
    <xf numFmtId="0" fontId="68" fillId="0" borderId="17" xfId="0" applyFont="1" applyFill="1" applyBorder="1" applyAlignment="1">
      <alignment horizontal="left" vertical="center"/>
    </xf>
    <xf numFmtId="0" fontId="68" fillId="0" borderId="18" xfId="0" applyFont="1" applyFill="1" applyBorder="1" applyAlignment="1">
      <alignment horizontal="left" vertical="center"/>
    </xf>
  </cellXfs>
  <cellStyles count="51">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rmal 2" xfId="50"/>
    <cellStyle name="Normal 3" xfId="51"/>
    <cellStyle name="Nosaukums" xfId="52"/>
    <cellStyle name="Paskaidrojošs teksts" xfId="53"/>
    <cellStyle name="Pārbaudes šūna" xfId="54"/>
    <cellStyle name="Piezīme" xfId="55"/>
    <cellStyle name="Percent" xfId="56"/>
    <cellStyle name="Saistīta šūna" xfId="57"/>
    <cellStyle name="Slikts" xfId="58"/>
    <cellStyle name="Currency" xfId="59"/>
    <cellStyle name="Currency [0]" xfId="60"/>
    <cellStyle name="Virsraksts 1" xfId="61"/>
    <cellStyle name="Virsraksts 2" xfId="62"/>
    <cellStyle name="Virsraksts 3" xfId="63"/>
    <cellStyle name="Virsraksts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X19"/>
  <sheetViews>
    <sheetView showGridLines="0" zoomScalePageLayoutView="0" workbookViewId="0" topLeftCell="A4">
      <selection activeCell="D21" sqref="D21"/>
    </sheetView>
  </sheetViews>
  <sheetFormatPr defaultColWidth="9.140625" defaultRowHeight="15"/>
  <cols>
    <col min="1" max="1" width="16.421875" style="0" customWidth="1"/>
    <col min="13" max="13" width="14.00390625" style="0" customWidth="1"/>
  </cols>
  <sheetData>
    <row r="1" spans="6:13" ht="69" customHeight="1">
      <c r="F1" s="194" t="s">
        <v>243</v>
      </c>
      <c r="G1" s="194"/>
      <c r="H1" s="194"/>
      <c r="I1" s="194"/>
      <c r="J1" s="194"/>
      <c r="K1" s="194"/>
      <c r="L1" s="194"/>
      <c r="M1" s="194"/>
    </row>
    <row r="2" spans="6:13" ht="14.25">
      <c r="F2" s="7"/>
      <c r="G2" s="7"/>
      <c r="H2" s="7"/>
      <c r="I2" s="7"/>
      <c r="J2" s="7"/>
      <c r="K2" s="7"/>
      <c r="L2" s="7"/>
      <c r="M2" s="7"/>
    </row>
    <row r="3" spans="6:13" ht="15">
      <c r="F3" s="7"/>
      <c r="G3" s="7"/>
      <c r="H3" s="195" t="s">
        <v>234</v>
      </c>
      <c r="I3" s="195"/>
      <c r="J3" s="195"/>
      <c r="K3" s="195"/>
      <c r="L3" s="195"/>
      <c r="M3" s="195"/>
    </row>
    <row r="4" spans="1:13" ht="35.25" customHeight="1">
      <c r="A4" s="196" t="s">
        <v>133</v>
      </c>
      <c r="B4" s="196"/>
      <c r="C4" s="196"/>
      <c r="D4" s="196"/>
      <c r="E4" s="196"/>
      <c r="F4" s="196"/>
      <c r="G4" s="196"/>
      <c r="H4" s="196"/>
      <c r="I4" s="196"/>
      <c r="J4" s="196"/>
      <c r="K4" s="196"/>
      <c r="L4" s="196"/>
      <c r="M4" s="196"/>
    </row>
    <row r="6" spans="1:13" ht="18">
      <c r="A6" s="193" t="s">
        <v>0</v>
      </c>
      <c r="B6" s="193"/>
      <c r="C6" s="193"/>
      <c r="D6" s="193"/>
      <c r="E6" s="193"/>
      <c r="F6" s="193"/>
      <c r="G6" s="193"/>
      <c r="H6" s="193"/>
      <c r="I6" s="193"/>
      <c r="J6" s="193"/>
      <c r="K6" s="193"/>
      <c r="L6" s="193"/>
      <c r="M6" s="193"/>
    </row>
    <row r="7" spans="1:13" ht="18.75" customHeight="1">
      <c r="A7" s="11" t="s">
        <v>2</v>
      </c>
      <c r="B7" s="197" t="s">
        <v>1</v>
      </c>
      <c r="C7" s="197"/>
      <c r="D7" s="197"/>
      <c r="E7" s="197"/>
      <c r="F7" s="197"/>
      <c r="G7" s="197"/>
      <c r="H7" s="197"/>
      <c r="I7" s="197"/>
      <c r="J7" s="197"/>
      <c r="K7" s="197"/>
      <c r="L7" s="197"/>
      <c r="M7" s="197"/>
    </row>
    <row r="8" spans="1:13" s="5" customFormat="1" ht="24" customHeight="1">
      <c r="A8" s="133" t="s">
        <v>204</v>
      </c>
      <c r="B8" s="189" t="s">
        <v>134</v>
      </c>
      <c r="C8" s="189"/>
      <c r="D8" s="189"/>
      <c r="E8" s="189"/>
      <c r="F8" s="189"/>
      <c r="G8" s="189"/>
      <c r="H8" s="189"/>
      <c r="I8" s="189"/>
      <c r="J8" s="189"/>
      <c r="K8" s="189"/>
      <c r="L8" s="189"/>
      <c r="M8" s="189"/>
    </row>
    <row r="9" spans="1:24" ht="22.5" customHeight="1">
      <c r="A9" s="133" t="s">
        <v>202</v>
      </c>
      <c r="B9" s="189" t="s">
        <v>56</v>
      </c>
      <c r="C9" s="189"/>
      <c r="D9" s="189"/>
      <c r="E9" s="189"/>
      <c r="F9" s="189"/>
      <c r="G9" s="189"/>
      <c r="H9" s="189"/>
      <c r="I9" s="189"/>
      <c r="J9" s="189"/>
      <c r="K9" s="189"/>
      <c r="L9" s="189"/>
      <c r="M9" s="189"/>
      <c r="N9" s="8"/>
      <c r="O9" s="9"/>
      <c r="P9" s="9"/>
      <c r="Q9" s="9"/>
      <c r="R9" s="9"/>
      <c r="S9" s="9"/>
      <c r="T9" s="9"/>
      <c r="U9" s="9"/>
      <c r="V9" s="9"/>
      <c r="W9" s="9"/>
      <c r="X9" s="9"/>
    </row>
    <row r="10" spans="1:24" s="6" customFormat="1" ht="21" customHeight="1">
      <c r="A10" s="133" t="s">
        <v>201</v>
      </c>
      <c r="B10" s="190" t="str">
        <f>'8.3.pielikums'!B6:P6</f>
        <v>Ar PR pakalpojuma  prasību nodrošināšanu saistītās izmaksas</v>
      </c>
      <c r="C10" s="191"/>
      <c r="D10" s="191"/>
      <c r="E10" s="191"/>
      <c r="F10" s="191"/>
      <c r="G10" s="191"/>
      <c r="H10" s="191"/>
      <c r="I10" s="191"/>
      <c r="J10" s="191"/>
      <c r="K10" s="191"/>
      <c r="L10" s="191"/>
      <c r="M10" s="192"/>
      <c r="N10" s="8"/>
      <c r="O10" s="9"/>
      <c r="P10" s="9"/>
      <c r="Q10" s="9"/>
      <c r="R10" s="9"/>
      <c r="S10" s="9"/>
      <c r="T10" s="9"/>
      <c r="U10" s="9"/>
      <c r="V10" s="9"/>
      <c r="W10" s="9"/>
      <c r="X10" s="9"/>
    </row>
    <row r="11" spans="1:22" s="5" customFormat="1" ht="18.75" customHeight="1">
      <c r="A11" s="133" t="s">
        <v>200</v>
      </c>
      <c r="B11" s="201" t="str">
        <f>'8.4.pielikums'!B4:G4</f>
        <v>Informācijas izplatīšana par autismu un iespējamu dalību PR pakalpojumā </v>
      </c>
      <c r="C11" s="202"/>
      <c r="D11" s="202"/>
      <c r="E11" s="202"/>
      <c r="F11" s="202"/>
      <c r="G11" s="202"/>
      <c r="H11" s="202"/>
      <c r="I11" s="202"/>
      <c r="J11" s="202"/>
      <c r="K11" s="202"/>
      <c r="L11" s="202"/>
      <c r="M11" s="203"/>
      <c r="N11" s="8"/>
      <c r="O11" s="9"/>
      <c r="P11" s="9"/>
      <c r="Q11" s="9"/>
      <c r="R11" s="9"/>
      <c r="S11" s="9"/>
      <c r="T11" s="9"/>
      <c r="U11" s="9"/>
      <c r="V11" s="9"/>
    </row>
    <row r="12" spans="1:22" ht="18.75" customHeight="1">
      <c r="A12" s="133" t="s">
        <v>205</v>
      </c>
      <c r="B12" s="189" t="str">
        <f>'8.5.pielikums'!B5:G5</f>
        <v>Apkopotā informācija par veiktajām tirgus izpētēm</v>
      </c>
      <c r="C12" s="189"/>
      <c r="D12" s="189"/>
      <c r="E12" s="189"/>
      <c r="F12" s="189"/>
      <c r="G12" s="189"/>
      <c r="H12" s="189"/>
      <c r="I12" s="189"/>
      <c r="J12" s="189"/>
      <c r="K12" s="189"/>
      <c r="L12" s="189"/>
      <c r="M12" s="189"/>
      <c r="N12" s="8"/>
      <c r="O12" s="9"/>
      <c r="P12" s="9"/>
      <c r="Q12" s="9"/>
      <c r="R12" s="9"/>
      <c r="S12" s="9"/>
      <c r="T12" s="9"/>
      <c r="U12" s="9"/>
      <c r="V12" s="9"/>
    </row>
    <row r="13" spans="1:13" ht="18.75" customHeight="1">
      <c r="A13" s="133" t="s">
        <v>206</v>
      </c>
      <c r="B13" s="204" t="str">
        <f>'8.6.pielikums'!B4:L4</f>
        <v>PR pakalpojuma atbalsta grupu vadītāju - līdzinieku apmācības</v>
      </c>
      <c r="C13" s="204"/>
      <c r="D13" s="204"/>
      <c r="E13" s="204"/>
      <c r="F13" s="204"/>
      <c r="G13" s="204"/>
      <c r="H13" s="204"/>
      <c r="I13" s="204"/>
      <c r="J13" s="204"/>
      <c r="K13" s="204"/>
      <c r="L13" s="204"/>
      <c r="M13" s="204"/>
    </row>
    <row r="14" spans="1:19" ht="17.25" customHeight="1">
      <c r="A14" s="133" t="s">
        <v>198</v>
      </c>
      <c r="B14" s="198" t="s">
        <v>174</v>
      </c>
      <c r="C14" s="199"/>
      <c r="D14" s="199"/>
      <c r="E14" s="199"/>
      <c r="F14" s="199"/>
      <c r="G14" s="199"/>
      <c r="H14" s="199"/>
      <c r="I14" s="199"/>
      <c r="J14" s="199"/>
      <c r="K14" s="199"/>
      <c r="L14" s="199"/>
      <c r="M14" s="200"/>
      <c r="N14" s="10"/>
      <c r="O14" s="10"/>
      <c r="P14" s="10"/>
      <c r="Q14" s="10"/>
      <c r="R14" s="10"/>
      <c r="S14" s="10"/>
    </row>
    <row r="15" spans="1:13" ht="15" customHeight="1">
      <c r="A15" s="133" t="s">
        <v>207</v>
      </c>
      <c r="B15" s="198" t="s">
        <v>139</v>
      </c>
      <c r="C15" s="199"/>
      <c r="D15" s="199"/>
      <c r="E15" s="199"/>
      <c r="F15" s="199"/>
      <c r="G15" s="199"/>
      <c r="H15" s="199"/>
      <c r="I15" s="199"/>
      <c r="J15" s="199"/>
      <c r="K15" s="199"/>
      <c r="L15" s="199"/>
      <c r="M15" s="200"/>
    </row>
    <row r="16" spans="1:13" ht="15.75" customHeight="1">
      <c r="A16" s="133" t="s">
        <v>208</v>
      </c>
      <c r="B16" s="198" t="s">
        <v>233</v>
      </c>
      <c r="C16" s="199"/>
      <c r="D16" s="199"/>
      <c r="E16" s="199"/>
      <c r="F16" s="199"/>
      <c r="G16" s="199"/>
      <c r="H16" s="199"/>
      <c r="I16" s="199"/>
      <c r="J16" s="199"/>
      <c r="K16" s="199"/>
      <c r="L16" s="199"/>
      <c r="M16" s="200"/>
    </row>
    <row r="17" spans="1:13" ht="15">
      <c r="A17" s="133" t="s">
        <v>242</v>
      </c>
      <c r="B17" s="198" t="s">
        <v>188</v>
      </c>
      <c r="C17" s="199"/>
      <c r="D17" s="199"/>
      <c r="E17" s="199"/>
      <c r="F17" s="199"/>
      <c r="G17" s="199"/>
      <c r="H17" s="199"/>
      <c r="I17" s="199"/>
      <c r="J17" s="199"/>
      <c r="K17" s="199"/>
      <c r="L17" s="199"/>
      <c r="M17" s="200"/>
    </row>
    <row r="18" ht="15">
      <c r="B18" s="1"/>
    </row>
    <row r="19" ht="15">
      <c r="B19" s="1"/>
    </row>
  </sheetData>
  <sheetProtection/>
  <mergeCells count="15">
    <mergeCell ref="B17:M17"/>
    <mergeCell ref="B15:M15"/>
    <mergeCell ref="B16:M16"/>
    <mergeCell ref="B14:M14"/>
    <mergeCell ref="B11:M11"/>
    <mergeCell ref="B13:M13"/>
    <mergeCell ref="B8:M8"/>
    <mergeCell ref="B9:M9"/>
    <mergeCell ref="B10:M10"/>
    <mergeCell ref="B12:M12"/>
    <mergeCell ref="A6:M6"/>
    <mergeCell ref="F1:M1"/>
    <mergeCell ref="H3:M3"/>
    <mergeCell ref="A4:M4"/>
    <mergeCell ref="B7:M7"/>
  </mergeCells>
  <printOptions/>
  <pageMargins left="0.25" right="0.25" top="0.75" bottom="0.75" header="0.3" footer="0.3"/>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C1:U44"/>
  <sheetViews>
    <sheetView showGridLines="0" zoomScale="84" zoomScaleNormal="84" zoomScalePageLayoutView="0" workbookViewId="0" topLeftCell="A8">
      <selection activeCell="K34" sqref="K34"/>
    </sheetView>
  </sheetViews>
  <sheetFormatPr defaultColWidth="9.140625" defaultRowHeight="15"/>
  <cols>
    <col min="1" max="1" width="2.8515625" style="0" customWidth="1"/>
    <col min="2" max="2" width="5.140625" style="0" customWidth="1"/>
    <col min="3" max="3" width="43.421875" style="0" customWidth="1"/>
    <col min="4" max="4" width="19.421875" style="0" customWidth="1"/>
    <col min="5" max="5" width="11.140625" style="0" hidden="1" customWidth="1"/>
    <col min="6" max="7" width="18.7109375" style="5" customWidth="1"/>
    <col min="8" max="8" width="7.140625" style="0" hidden="1" customWidth="1"/>
    <col min="9" max="9" width="14.140625" style="5" customWidth="1"/>
    <col min="10" max="10" width="14.140625" style="5" hidden="1" customWidth="1"/>
    <col min="11" max="11" width="21.421875" style="0" customWidth="1"/>
    <col min="13" max="13" width="0" style="0" hidden="1" customWidth="1"/>
    <col min="14" max="19" width="8.8515625" style="0" hidden="1" customWidth="1"/>
    <col min="20" max="20" width="12.28125" style="0" hidden="1" customWidth="1"/>
    <col min="21" max="21" width="8.8515625" style="0" hidden="1" customWidth="1"/>
  </cols>
  <sheetData>
    <row r="1" spans="3:11" s="5" customFormat="1" ht="15">
      <c r="C1" s="14"/>
      <c r="D1" s="14"/>
      <c r="E1" s="14"/>
      <c r="F1" s="14"/>
      <c r="G1" s="118"/>
      <c r="H1" s="14"/>
      <c r="I1" s="14"/>
      <c r="J1" s="214" t="s">
        <v>197</v>
      </c>
      <c r="K1" s="214"/>
    </row>
    <row r="2" spans="3:11" s="5" customFormat="1" ht="15">
      <c r="C2" s="14"/>
      <c r="D2" s="14"/>
      <c r="E2" s="14"/>
      <c r="F2" s="14"/>
      <c r="G2" s="14"/>
      <c r="H2" s="14"/>
      <c r="I2" s="14"/>
      <c r="J2" s="14"/>
      <c r="K2" s="14"/>
    </row>
    <row r="3" spans="3:11" s="5" customFormat="1" ht="21.75" customHeight="1">
      <c r="C3" s="217" t="s">
        <v>233</v>
      </c>
      <c r="D3" s="217"/>
      <c r="E3" s="217"/>
      <c r="F3" s="217"/>
      <c r="G3" s="217"/>
      <c r="H3" s="217"/>
      <c r="I3" s="217"/>
      <c r="J3" s="217"/>
      <c r="K3" s="217"/>
    </row>
    <row r="6" spans="3:11" s="5" customFormat="1" ht="60" customHeight="1">
      <c r="C6" s="127" t="s">
        <v>117</v>
      </c>
      <c r="D6" s="117" t="s">
        <v>228</v>
      </c>
      <c r="E6" s="121"/>
      <c r="F6" s="313" t="s">
        <v>221</v>
      </c>
      <c r="G6" s="314"/>
      <c r="H6" s="126" t="s">
        <v>216</v>
      </c>
      <c r="I6" s="313" t="s">
        <v>223</v>
      </c>
      <c r="J6" s="314"/>
      <c r="K6" s="117" t="s">
        <v>224</v>
      </c>
    </row>
    <row r="7" spans="3:11" ht="29.25" customHeight="1">
      <c r="C7" s="128"/>
      <c r="D7" s="117" t="s">
        <v>226</v>
      </c>
      <c r="E7" s="122" t="s">
        <v>215</v>
      </c>
      <c r="F7" s="117" t="s">
        <v>226</v>
      </c>
      <c r="G7" s="117" t="s">
        <v>222</v>
      </c>
      <c r="H7" s="122" t="s">
        <v>216</v>
      </c>
      <c r="I7" s="117" t="s">
        <v>226</v>
      </c>
      <c r="J7" s="117" t="s">
        <v>222</v>
      </c>
      <c r="K7" s="117" t="s">
        <v>222</v>
      </c>
    </row>
    <row r="8" spans="3:11" ht="15">
      <c r="C8" s="45" t="s">
        <v>120</v>
      </c>
      <c r="D8" s="27">
        <f>'8.1. pielikums'!B8</f>
        <v>500</v>
      </c>
      <c r="E8" s="123">
        <v>381</v>
      </c>
      <c r="F8" s="27">
        <f>'8.1. pielikums'!E8</f>
        <v>344.10499999999996</v>
      </c>
      <c r="G8" s="27">
        <f>F8</f>
        <v>344.10499999999996</v>
      </c>
      <c r="H8" s="123">
        <f>'8.1. pielikums'!H8</f>
        <v>586.79</v>
      </c>
      <c r="I8" s="27">
        <f>H8</f>
        <v>586.79</v>
      </c>
      <c r="J8" s="27">
        <f>I8</f>
        <v>586.79</v>
      </c>
      <c r="K8" s="27">
        <f>'8.1. pielikums'!K8</f>
        <v>1125.11</v>
      </c>
    </row>
    <row r="9" spans="3:11" ht="30.75">
      <c r="C9" s="119" t="s">
        <v>246</v>
      </c>
      <c r="D9" s="72">
        <f>SUM(D11:D15)+D17+SUM(D19:D34)</f>
        <v>275.37</v>
      </c>
      <c r="E9" s="123">
        <f>SUM(E11:E15)+E17+SUM(E21:E34)</f>
        <v>586.7860000000001</v>
      </c>
      <c r="F9" s="72">
        <f>SUM(F11:F15)+F17+SUM(F21:F34)</f>
        <v>265.87</v>
      </c>
      <c r="G9" s="72">
        <f>SUM(G11:G15)+G17+SUM(G21:G34)</f>
        <v>574.4525</v>
      </c>
      <c r="H9" s="123" t="e">
        <f>SUM(H11:H15)+H17+SUM(H21:H34)</f>
        <v>#REF!</v>
      </c>
      <c r="I9" s="72">
        <f>SUM(I11:I15)+I17+I16+SUM(I21:I34)</f>
        <v>219.7</v>
      </c>
      <c r="J9" s="72">
        <f>SUM(J11:J15)+J17+J16+SUM(J21:J34)</f>
        <v>219.7</v>
      </c>
      <c r="K9" s="72">
        <f>SUM(K11:K15)+K17+K16+SUM(K21:K34)</f>
        <v>692.3740666666667</v>
      </c>
    </row>
    <row r="10" spans="3:11" s="5" customFormat="1" ht="15" customHeight="1">
      <c r="C10" s="310" t="s">
        <v>225</v>
      </c>
      <c r="D10" s="310"/>
      <c r="E10" s="310"/>
      <c r="F10" s="310"/>
      <c r="G10" s="310"/>
      <c r="H10" s="310"/>
      <c r="I10" s="310"/>
      <c r="J10" s="310"/>
      <c r="K10" s="310"/>
    </row>
    <row r="11" spans="3:11" ht="15">
      <c r="C11" s="108" t="s">
        <v>7</v>
      </c>
      <c r="D11" s="71">
        <f>'8.3.pielikums'!$C$10</f>
        <v>42.55</v>
      </c>
      <c r="E11" s="124">
        <f>'8.3.pielikums'!$C$10</f>
        <v>42.55</v>
      </c>
      <c r="F11" s="71">
        <f aca="true" t="shared" si="0" ref="F11:G15">E11</f>
        <v>42.55</v>
      </c>
      <c r="G11" s="71">
        <f t="shared" si="0"/>
        <v>42.55</v>
      </c>
      <c r="H11" s="124">
        <f>'8.3.pielikums'!$C$10</f>
        <v>42.55</v>
      </c>
      <c r="I11" s="71">
        <f aca="true" t="shared" si="1" ref="I11:J14">H11</f>
        <v>42.55</v>
      </c>
      <c r="J11" s="71">
        <f t="shared" si="1"/>
        <v>42.55</v>
      </c>
      <c r="K11" s="71">
        <f>'8.3.pielikums'!$C$10</f>
        <v>42.55</v>
      </c>
    </row>
    <row r="12" spans="3:13" ht="15">
      <c r="C12" s="176" t="s">
        <v>13</v>
      </c>
      <c r="D12" s="71">
        <f>'8.3.pielikums'!$C$13</f>
        <v>1.6</v>
      </c>
      <c r="E12" s="124">
        <f>'8.3.pielikums'!$C$13</f>
        <v>1.6</v>
      </c>
      <c r="F12" s="71">
        <f t="shared" si="0"/>
        <v>1.6</v>
      </c>
      <c r="G12" s="71">
        <f t="shared" si="0"/>
        <v>1.6</v>
      </c>
      <c r="H12" s="124">
        <f>'8.3.pielikums'!$C$13</f>
        <v>1.6</v>
      </c>
      <c r="I12" s="71">
        <f t="shared" si="1"/>
        <v>1.6</v>
      </c>
      <c r="J12" s="71">
        <f t="shared" si="1"/>
        <v>1.6</v>
      </c>
      <c r="K12" s="71">
        <f>'8.3.pielikums'!$C$13</f>
        <v>1.6</v>
      </c>
      <c r="M12" s="5"/>
    </row>
    <row r="13" spans="3:13" ht="30.75">
      <c r="C13" s="176" t="s">
        <v>24</v>
      </c>
      <c r="D13" s="71">
        <f>'8.3.pielikums'!$C$14</f>
        <v>129.35</v>
      </c>
      <c r="E13" s="124">
        <f>'8.3.pielikums'!$C$14</f>
        <v>129.35</v>
      </c>
      <c r="F13" s="71">
        <f t="shared" si="0"/>
        <v>129.35</v>
      </c>
      <c r="G13" s="71">
        <f t="shared" si="0"/>
        <v>129.35</v>
      </c>
      <c r="H13" s="124">
        <f>'8.3.pielikums'!$C$14</f>
        <v>129.35</v>
      </c>
      <c r="I13" s="71">
        <f t="shared" si="1"/>
        <v>129.35</v>
      </c>
      <c r="J13" s="71">
        <f t="shared" si="1"/>
        <v>129.35</v>
      </c>
      <c r="K13" s="71">
        <f>'8.3.pielikums'!$C$14</f>
        <v>129.35</v>
      </c>
      <c r="M13" s="5"/>
    </row>
    <row r="14" spans="3:13" ht="30.75">
      <c r="C14" s="79" t="s">
        <v>27</v>
      </c>
      <c r="D14" s="71">
        <f>'8.3.pielikums'!$C$16</f>
        <v>28.69</v>
      </c>
      <c r="E14" s="124">
        <f>'8.3.pielikums'!$C$16</f>
        <v>28.69</v>
      </c>
      <c r="F14" s="71">
        <f t="shared" si="0"/>
        <v>28.69</v>
      </c>
      <c r="G14" s="71">
        <f t="shared" si="0"/>
        <v>28.69</v>
      </c>
      <c r="H14" s="124">
        <f>'8.3.pielikums'!$C$16</f>
        <v>28.69</v>
      </c>
      <c r="I14" s="71">
        <f t="shared" si="1"/>
        <v>28.69</v>
      </c>
      <c r="J14" s="71">
        <f t="shared" si="1"/>
        <v>28.69</v>
      </c>
      <c r="K14" s="71">
        <f>'8.3.pielikums'!$C$16</f>
        <v>28.69</v>
      </c>
      <c r="M14" s="5"/>
    </row>
    <row r="15" spans="3:13" ht="15">
      <c r="C15" s="79" t="s">
        <v>34</v>
      </c>
      <c r="D15" s="71">
        <v>0</v>
      </c>
      <c r="E15" s="124">
        <f>'8.3.pielikums'!$C$24</f>
        <v>62.5</v>
      </c>
      <c r="F15" s="71">
        <f>'8.3.pielikums'!C24</f>
        <v>62.5</v>
      </c>
      <c r="G15" s="71">
        <f t="shared" si="0"/>
        <v>62.5</v>
      </c>
      <c r="H15" s="124">
        <f>'8.3.pielikums'!$C$24</f>
        <v>62.5</v>
      </c>
      <c r="I15" s="71">
        <v>0</v>
      </c>
      <c r="J15" s="71">
        <v>0</v>
      </c>
      <c r="K15" s="71">
        <v>0</v>
      </c>
      <c r="M15" s="5"/>
    </row>
    <row r="16" spans="3:11" s="5" customFormat="1" ht="46.5">
      <c r="C16" s="169" t="s">
        <v>278</v>
      </c>
      <c r="D16" s="71">
        <v>0</v>
      </c>
      <c r="E16" s="124"/>
      <c r="F16" s="71">
        <v>0</v>
      </c>
      <c r="G16" s="71">
        <v>0</v>
      </c>
      <c r="H16" s="124"/>
      <c r="I16" s="161">
        <f>'8.3.pielikums'!C25</f>
        <v>16.33</v>
      </c>
      <c r="J16" s="161">
        <f>'8.3.pielikums'!C25</f>
        <v>16.33</v>
      </c>
      <c r="K16" s="161">
        <f>'8.3.pielikums'!C25</f>
        <v>16.33</v>
      </c>
    </row>
    <row r="17" spans="3:13" ht="30.75">
      <c r="C17" s="79" t="s">
        <v>8</v>
      </c>
      <c r="D17" s="71">
        <f>'8.3.pielikums'!$C$12</f>
        <v>1.18</v>
      </c>
      <c r="E17" s="124">
        <f>'8.3.pielikums'!$C$12</f>
        <v>1.18</v>
      </c>
      <c r="F17" s="71">
        <f>E17</f>
        <v>1.18</v>
      </c>
      <c r="G17" s="71">
        <f>F17</f>
        <v>1.18</v>
      </c>
      <c r="H17" s="124">
        <f>'8.3.pielikums'!$C$12</f>
        <v>1.18</v>
      </c>
      <c r="I17" s="71">
        <f>H17</f>
        <v>1.18</v>
      </c>
      <c r="J17" s="71">
        <f>I17</f>
        <v>1.18</v>
      </c>
      <c r="K17" s="71">
        <v>0</v>
      </c>
      <c r="M17" s="5"/>
    </row>
    <row r="18" spans="3:13" ht="15" customHeight="1">
      <c r="C18" s="310" t="s">
        <v>303</v>
      </c>
      <c r="D18" s="310"/>
      <c r="E18" s="310"/>
      <c r="F18" s="310"/>
      <c r="G18" s="310"/>
      <c r="H18" s="310"/>
      <c r="I18" s="310"/>
      <c r="J18" s="310"/>
      <c r="K18" s="310"/>
      <c r="M18" s="5"/>
    </row>
    <row r="19" spans="3:11" s="5" customFormat="1" ht="15" customHeight="1">
      <c r="C19" s="79" t="s">
        <v>281</v>
      </c>
      <c r="D19" s="161">
        <f>'8.3.pielikums'!C11</f>
        <v>72</v>
      </c>
      <c r="E19" s="124"/>
      <c r="F19" s="120"/>
      <c r="G19" s="120"/>
      <c r="H19" s="125"/>
      <c r="I19" s="120"/>
      <c r="J19" s="120"/>
      <c r="K19" s="120"/>
    </row>
    <row r="20" spans="3:11" s="5" customFormat="1" ht="15" customHeight="1">
      <c r="C20" s="310" t="s">
        <v>227</v>
      </c>
      <c r="D20" s="310"/>
      <c r="E20" s="310"/>
      <c r="F20" s="310"/>
      <c r="G20" s="310"/>
      <c r="H20" s="310"/>
      <c r="I20" s="310"/>
      <c r="J20" s="310"/>
      <c r="K20" s="310"/>
    </row>
    <row r="21" spans="3:13" ht="30.75">
      <c r="C21" s="176" t="s">
        <v>299</v>
      </c>
      <c r="D21" s="120"/>
      <c r="E21" s="120">
        <f>'8.3.pielikums'!$C$15*0.2</f>
        <v>6.470000000000001</v>
      </c>
      <c r="F21" s="120"/>
      <c r="G21" s="161">
        <f>'8.3.pielikums'!$C$15*0.25</f>
        <v>8.0875</v>
      </c>
      <c r="H21" s="71">
        <f>'8.3.pielikums'!$C$15</f>
        <v>32.35</v>
      </c>
      <c r="I21" s="120"/>
      <c r="J21" s="120"/>
      <c r="K21" s="161">
        <f>'8.3.pielikums'!$C$15*0.28</f>
        <v>9.058000000000002</v>
      </c>
      <c r="M21" s="5"/>
    </row>
    <row r="22" spans="3:11" s="5" customFormat="1" ht="30.75">
      <c r="C22" s="176" t="s">
        <v>300</v>
      </c>
      <c r="D22" s="120"/>
      <c r="E22" s="120"/>
      <c r="F22" s="120"/>
      <c r="G22" s="161">
        <v>0</v>
      </c>
      <c r="H22" s="71"/>
      <c r="I22" s="120"/>
      <c r="J22" s="71">
        <v>0</v>
      </c>
      <c r="K22" s="161">
        <f>'8.3.pielikums'!C17*0.094</f>
        <v>18.1044</v>
      </c>
    </row>
    <row r="23" spans="3:13" ht="30.75">
      <c r="C23" s="176" t="s">
        <v>218</v>
      </c>
      <c r="D23" s="120"/>
      <c r="E23" s="120">
        <f>'8.3.pielikums'!$C$18*0.8</f>
        <v>76.80000000000001</v>
      </c>
      <c r="F23" s="120"/>
      <c r="G23" s="161">
        <f>'8.3.pielikums'!$C$18*0.75</f>
        <v>72</v>
      </c>
      <c r="H23" s="71">
        <v>0</v>
      </c>
      <c r="I23" s="120"/>
      <c r="J23" s="150">
        <f aca="true" t="shared" si="2" ref="J23:J34">H23</f>
        <v>0</v>
      </c>
      <c r="K23" s="161">
        <f>'8.3.pielikums'!$C$19*0.625</f>
        <v>120</v>
      </c>
      <c r="M23" s="5"/>
    </row>
    <row r="24" spans="3:11" s="5" customFormat="1" ht="30.75">
      <c r="C24" s="176" t="s">
        <v>283</v>
      </c>
      <c r="D24" s="120"/>
      <c r="E24" s="120"/>
      <c r="F24" s="120"/>
      <c r="G24" s="161"/>
      <c r="H24" s="71"/>
      <c r="I24" s="120"/>
      <c r="J24" s="150"/>
      <c r="K24" s="161">
        <f>'8.3.pielikums'!E20/64</f>
        <v>44.50416666666667</v>
      </c>
    </row>
    <row r="25" spans="3:13" ht="30.75">
      <c r="C25" s="3" t="s">
        <v>28</v>
      </c>
      <c r="D25" s="120"/>
      <c r="E25" s="125">
        <f>'8.3.pielikums'!$C$21</f>
        <v>58.23</v>
      </c>
      <c r="F25" s="120"/>
      <c r="G25" s="161">
        <f>'8.3.pielikums'!$C$21</f>
        <v>58.23</v>
      </c>
      <c r="H25" s="124">
        <v>0</v>
      </c>
      <c r="I25" s="120"/>
      <c r="J25" s="71">
        <f t="shared" si="2"/>
        <v>0</v>
      </c>
      <c r="K25" s="71">
        <v>0</v>
      </c>
      <c r="M25" s="5"/>
    </row>
    <row r="26" spans="3:13" ht="30.75" hidden="1">
      <c r="C26" s="3" t="s">
        <v>229</v>
      </c>
      <c r="D26" s="120"/>
      <c r="E26" s="125">
        <v>0</v>
      </c>
      <c r="F26" s="120"/>
      <c r="G26" s="161">
        <f aca="true" t="shared" si="3" ref="G26:G34">E26</f>
        <v>0</v>
      </c>
      <c r="H26" s="124" t="e">
        <f>'8.3.pielikums'!#REF!</f>
        <v>#REF!</v>
      </c>
      <c r="I26" s="120"/>
      <c r="J26" s="71">
        <v>0</v>
      </c>
      <c r="K26" s="71">
        <v>0</v>
      </c>
      <c r="M26" s="5"/>
    </row>
    <row r="27" spans="3:13" ht="30.75" hidden="1">
      <c r="C27" s="3" t="s">
        <v>230</v>
      </c>
      <c r="D27" s="120"/>
      <c r="E27" s="125">
        <v>0</v>
      </c>
      <c r="F27" s="120"/>
      <c r="G27" s="161">
        <f t="shared" si="3"/>
        <v>0</v>
      </c>
      <c r="H27" s="124" t="e">
        <f>'8.3.pielikums'!#REF!</f>
        <v>#REF!</v>
      </c>
      <c r="I27" s="120"/>
      <c r="J27" s="71">
        <v>0</v>
      </c>
      <c r="K27" s="71">
        <v>0</v>
      </c>
      <c r="M27" s="5"/>
    </row>
    <row r="28" spans="3:11" ht="30.75" hidden="1">
      <c r="C28" s="3" t="s">
        <v>29</v>
      </c>
      <c r="D28" s="120"/>
      <c r="E28" s="125">
        <v>0</v>
      </c>
      <c r="F28" s="120"/>
      <c r="G28" s="161">
        <f t="shared" si="3"/>
        <v>0</v>
      </c>
      <c r="H28" s="124">
        <v>0</v>
      </c>
      <c r="I28" s="120"/>
      <c r="J28" s="71">
        <f t="shared" si="2"/>
        <v>0</v>
      </c>
      <c r="K28" s="71">
        <v>0</v>
      </c>
    </row>
    <row r="29" spans="3:11" ht="15">
      <c r="C29" s="43" t="s">
        <v>220</v>
      </c>
      <c r="D29" s="120"/>
      <c r="E29" s="125">
        <f>'8.3.pielikums'!$C$22*0.8</f>
        <v>111.64800000000001</v>
      </c>
      <c r="F29" s="120"/>
      <c r="G29" s="161">
        <f>'8.3.pielikums'!$C$22*0.75</f>
        <v>104.67</v>
      </c>
      <c r="H29" s="124">
        <v>0</v>
      </c>
      <c r="I29" s="120"/>
      <c r="J29" s="71">
        <f t="shared" si="2"/>
        <v>0</v>
      </c>
      <c r="K29" s="71">
        <f>'8.3.pielikums'!$C$22/64*40</f>
        <v>87.225</v>
      </c>
    </row>
    <row r="30" spans="3:19" ht="15">
      <c r="C30" s="43" t="s">
        <v>219</v>
      </c>
      <c r="D30" s="120"/>
      <c r="E30" s="125">
        <f>'8.3.pielikums'!$C$23*0.8</f>
        <v>34.768</v>
      </c>
      <c r="F30" s="120"/>
      <c r="G30" s="161">
        <f>'8.3.pielikums'!$C$23*0.75</f>
        <v>32.595</v>
      </c>
      <c r="H30" s="124">
        <v>0</v>
      </c>
      <c r="I30" s="120"/>
      <c r="J30" s="71">
        <f t="shared" si="2"/>
        <v>0</v>
      </c>
      <c r="K30" s="71">
        <f>'8.3.pielikums'!$C$23/64*40</f>
        <v>27.1625</v>
      </c>
      <c r="M30" s="5"/>
      <c r="N30" s="94">
        <f>'9.pielikums'!E6</f>
        <v>1</v>
      </c>
      <c r="O30" s="93">
        <f>'9.pielikums'!E8</f>
        <v>0</v>
      </c>
      <c r="P30" s="93">
        <f>'9.pielikums'!E7</f>
        <v>80</v>
      </c>
      <c r="Q30" s="98">
        <f>'9.pielikums'!E9</f>
        <v>80</v>
      </c>
      <c r="R30" s="98"/>
      <c r="S30" s="98">
        <f>'9.pielikums'!E10</f>
        <v>64</v>
      </c>
    </row>
    <row r="31" spans="3:20" ht="15">
      <c r="C31" s="110" t="s">
        <v>38</v>
      </c>
      <c r="D31" s="120"/>
      <c r="E31" s="125">
        <f>'8.3.pielikums'!$C$26</f>
        <v>33</v>
      </c>
      <c r="F31" s="120"/>
      <c r="G31" s="161">
        <f>'8.3.pielikums'!$C$26</f>
        <v>33</v>
      </c>
      <c r="H31" s="124">
        <v>0</v>
      </c>
      <c r="I31" s="120"/>
      <c r="J31" s="71">
        <f t="shared" si="2"/>
        <v>0</v>
      </c>
      <c r="K31" s="71">
        <v>0</v>
      </c>
      <c r="M31" s="5"/>
      <c r="N31">
        <f>ROUND(D35*$N$30,2)</f>
        <v>77.54</v>
      </c>
      <c r="O31" s="5">
        <f>ROUND(F35*$O$30,2)</f>
        <v>0</v>
      </c>
      <c r="P31" s="5">
        <f>ROUND(G35*$P$30,2)</f>
        <v>7348.46</v>
      </c>
      <c r="Q31" s="5">
        <f>ROUND(I35*$Q$30,2)</f>
        <v>6451.92</v>
      </c>
      <c r="R31" s="5"/>
      <c r="S31" s="5">
        <f>ROUND(K35*$S$30,2)</f>
        <v>11631.9</v>
      </c>
      <c r="T31" s="141">
        <f>SUM(N31:S31)</f>
        <v>25509.82</v>
      </c>
    </row>
    <row r="32" spans="3:21" ht="15">
      <c r="C32" s="110" t="s">
        <v>39</v>
      </c>
      <c r="D32" s="120"/>
      <c r="E32" s="125">
        <v>0</v>
      </c>
      <c r="F32" s="120"/>
      <c r="G32" s="161">
        <f t="shared" si="3"/>
        <v>0</v>
      </c>
      <c r="H32" s="124" t="e">
        <f>'8.3.pielikums'!#REF!</f>
        <v>#REF!</v>
      </c>
      <c r="I32" s="120"/>
      <c r="J32" s="71">
        <v>0</v>
      </c>
      <c r="K32" s="71">
        <v>0</v>
      </c>
      <c r="M32" s="5"/>
      <c r="N32" s="5">
        <f>ROUND(D36*$N$30,2)</f>
        <v>852.91</v>
      </c>
      <c r="O32" s="5">
        <f>ROUND(F36*$O$30,2)</f>
        <v>0</v>
      </c>
      <c r="P32" s="5">
        <f>ROUND(G36*$P$30,2)</f>
        <v>80833.06</v>
      </c>
      <c r="Q32" s="5">
        <f>ROUND(I36*$Q$30,2)</f>
        <v>70971.12</v>
      </c>
      <c r="R32" s="5"/>
      <c r="S32" s="5">
        <f>ROUND(K36*$S$30,2)</f>
        <v>127950.88</v>
      </c>
      <c r="T32" s="141">
        <f>SUM(N32:S32)</f>
        <v>280607.97</v>
      </c>
      <c r="U32" s="140">
        <f>T32-SUM('9.pielikums'!F6:F10)</f>
        <v>0.004706666630227119</v>
      </c>
    </row>
    <row r="33" spans="3:13" ht="15">
      <c r="C33" s="110" t="s">
        <v>40</v>
      </c>
      <c r="D33" s="120"/>
      <c r="E33" s="125">
        <v>0</v>
      </c>
      <c r="F33" s="120"/>
      <c r="G33" s="161">
        <f t="shared" si="3"/>
        <v>0</v>
      </c>
      <c r="H33" s="124">
        <v>0</v>
      </c>
      <c r="I33" s="120"/>
      <c r="J33" s="71">
        <f t="shared" si="2"/>
        <v>0</v>
      </c>
      <c r="K33" s="71">
        <f>'8.3.pielikums'!$C$27</f>
        <v>76</v>
      </c>
      <c r="M33" s="5"/>
    </row>
    <row r="34" spans="3:13" ht="15">
      <c r="C34" s="43" t="s">
        <v>31</v>
      </c>
      <c r="D34" s="120"/>
      <c r="E34" s="125">
        <v>0</v>
      </c>
      <c r="F34" s="120"/>
      <c r="G34" s="161">
        <f t="shared" si="3"/>
        <v>0</v>
      </c>
      <c r="H34" s="124">
        <v>0</v>
      </c>
      <c r="I34" s="120"/>
      <c r="J34" s="71">
        <f t="shared" si="2"/>
        <v>0</v>
      </c>
      <c r="K34" s="71">
        <f>'8.3.pielikums'!$C$28</f>
        <v>91.8</v>
      </c>
      <c r="M34" s="5"/>
    </row>
    <row r="35" spans="3:13" ht="15">
      <c r="C35" s="73" t="s">
        <v>231</v>
      </c>
      <c r="D35" s="72">
        <f>(D8+D9)*0.1</f>
        <v>77.537</v>
      </c>
      <c r="E35" s="72"/>
      <c r="F35" s="72">
        <f>(F8+F9)*0.1</f>
        <v>60.997499999999995</v>
      </c>
      <c r="G35" s="72">
        <f>(G8+G9)*0.1</f>
        <v>91.85575</v>
      </c>
      <c r="H35" s="72"/>
      <c r="I35" s="72">
        <f>(I8+I9)*0.1</f>
        <v>80.649</v>
      </c>
      <c r="J35" s="72">
        <f>'8.1. pielikums'!H19</f>
        <v>0</v>
      </c>
      <c r="K35" s="72">
        <f>(K8+K9)*0.1</f>
        <v>181.74840666666668</v>
      </c>
      <c r="M35" s="5"/>
    </row>
    <row r="36" spans="3:13" ht="15">
      <c r="C36" s="74" t="s">
        <v>232</v>
      </c>
      <c r="D36" s="72">
        <f>D35+D9+D8</f>
        <v>852.907</v>
      </c>
      <c r="E36" s="72"/>
      <c r="F36" s="72">
        <f>F35+F9+F8</f>
        <v>670.9725</v>
      </c>
      <c r="G36" s="72">
        <f>G35+G9+G8</f>
        <v>1010.4132500000001</v>
      </c>
      <c r="H36" s="72"/>
      <c r="I36" s="72">
        <f>I35+I9+I8</f>
        <v>887.1389999999999</v>
      </c>
      <c r="J36" s="72">
        <f>J35+J9+J8</f>
        <v>806.49</v>
      </c>
      <c r="K36" s="72">
        <f>K35+K9+K8</f>
        <v>1999.2324733333335</v>
      </c>
      <c r="M36" s="5"/>
    </row>
    <row r="37" ht="14.25">
      <c r="N37" s="140">
        <f>'8.1. pielikums'!B20+'8.1. pielikums'!E19++'8.1. pielikums'!E20+'8.1. pielikums'!H19+'8.1. pielikums'!H20+'8.1. pielikums'!K19-'8.9. pielikums'!D35-'8.9. pielikums'!F35-'8.9. pielikums'!G35-'8.9. pielikums'!I35-'8.9. pielikums'!K35-J35</f>
        <v>2.842170943040401E-14</v>
      </c>
    </row>
    <row r="38" spans="3:21" s="131" customFormat="1" ht="19.5" customHeight="1">
      <c r="C38" s="311" t="s">
        <v>329</v>
      </c>
      <c r="D38" s="311"/>
      <c r="E38" s="311"/>
      <c r="F38" s="311"/>
      <c r="G38" s="311"/>
      <c r="H38" s="311"/>
      <c r="I38" s="311"/>
      <c r="J38" s="311"/>
      <c r="K38" s="311"/>
      <c r="L38" s="311"/>
      <c r="M38"/>
      <c r="N38" s="140">
        <f>D36+F36+G36+I36+K36-'9.pielikums'!D6-'9.pielikums'!D7-'9.pielikums'!D8-'9.pielikums'!D9-'9.pielikums'!D10</f>
        <v>0</v>
      </c>
      <c r="O38"/>
      <c r="P38"/>
      <c r="Q38"/>
      <c r="R38"/>
      <c r="S38"/>
      <c r="T38"/>
      <c r="U38"/>
    </row>
    <row r="39" spans="3:21" s="131" customFormat="1" ht="19.5" customHeight="1">
      <c r="C39" s="311"/>
      <c r="D39" s="311"/>
      <c r="E39" s="311"/>
      <c r="F39" s="311"/>
      <c r="G39" s="311"/>
      <c r="H39" s="311"/>
      <c r="I39" s="311"/>
      <c r="J39" s="311"/>
      <c r="K39" s="311"/>
      <c r="L39" s="311"/>
      <c r="M39"/>
      <c r="N39"/>
      <c r="O39"/>
      <c r="P39"/>
      <c r="Q39"/>
      <c r="R39"/>
      <c r="S39"/>
      <c r="T39"/>
      <c r="U39"/>
    </row>
    <row r="40" spans="3:12" s="131" customFormat="1" ht="19.5" customHeight="1">
      <c r="C40" s="311"/>
      <c r="D40" s="311"/>
      <c r="E40" s="311"/>
      <c r="F40" s="311"/>
      <c r="G40" s="311"/>
      <c r="H40" s="311"/>
      <c r="I40" s="311"/>
      <c r="J40" s="311"/>
      <c r="K40" s="311"/>
      <c r="L40" s="311"/>
    </row>
    <row r="41" spans="3:12" s="131" customFormat="1" ht="19.5" customHeight="1">
      <c r="C41" s="311"/>
      <c r="D41" s="311"/>
      <c r="E41" s="311"/>
      <c r="F41" s="311"/>
      <c r="G41" s="311"/>
      <c r="H41" s="311"/>
      <c r="I41" s="311"/>
      <c r="J41" s="311"/>
      <c r="K41" s="311"/>
      <c r="L41" s="311"/>
    </row>
    <row r="42" spans="3:12" s="131" customFormat="1" ht="156" customHeight="1">
      <c r="C42" s="311"/>
      <c r="D42" s="311"/>
      <c r="E42" s="311"/>
      <c r="F42" s="311"/>
      <c r="G42" s="311"/>
      <c r="H42" s="311"/>
      <c r="I42" s="311"/>
      <c r="J42" s="311"/>
      <c r="K42" s="311"/>
      <c r="L42" s="311"/>
    </row>
    <row r="43" spans="3:12" s="131" customFormat="1" ht="194.25" customHeight="1">
      <c r="C43" s="312" t="s">
        <v>328</v>
      </c>
      <c r="D43" s="312"/>
      <c r="E43" s="312"/>
      <c r="F43" s="312"/>
      <c r="G43" s="312"/>
      <c r="H43" s="312"/>
      <c r="I43" s="312"/>
      <c r="J43" s="312"/>
      <c r="K43" s="312"/>
      <c r="L43" s="312"/>
    </row>
    <row r="44" spans="3:12" s="131" customFormat="1" ht="33" customHeight="1">
      <c r="C44" s="312" t="s">
        <v>330</v>
      </c>
      <c r="D44" s="312"/>
      <c r="E44" s="312"/>
      <c r="F44" s="312"/>
      <c r="G44" s="312"/>
      <c r="H44" s="312"/>
      <c r="I44" s="312"/>
      <c r="J44" s="312"/>
      <c r="K44" s="312"/>
      <c r="L44" s="312"/>
    </row>
  </sheetData>
  <sheetProtection/>
  <mergeCells count="10">
    <mergeCell ref="C18:K18"/>
    <mergeCell ref="C38:L42"/>
    <mergeCell ref="C43:L43"/>
    <mergeCell ref="C44:L44"/>
    <mergeCell ref="J1:K1"/>
    <mergeCell ref="C3:K3"/>
    <mergeCell ref="F6:G6"/>
    <mergeCell ref="I6:J6"/>
    <mergeCell ref="C10:K10"/>
    <mergeCell ref="C20:K20"/>
  </mergeCells>
  <printOptions/>
  <pageMargins left="0.25" right="0.25" top="0.75" bottom="0.75" header="0.3" footer="0.3"/>
  <pageSetup fitToHeight="0" fitToWidth="1"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dimension ref="B1:L18"/>
  <sheetViews>
    <sheetView showGridLines="0" zoomScale="90" zoomScaleNormal="90" zoomScalePageLayoutView="0" workbookViewId="0" topLeftCell="A1">
      <selection activeCell="D12" sqref="D12"/>
    </sheetView>
  </sheetViews>
  <sheetFormatPr defaultColWidth="9.140625" defaultRowHeight="15"/>
  <cols>
    <col min="2" max="2" width="34.421875" style="0" customWidth="1"/>
    <col min="3" max="3" width="12.140625" style="5" customWidth="1"/>
    <col min="4" max="4" width="15.8515625" style="0" customWidth="1"/>
    <col min="5" max="5" width="18.8515625" style="0" customWidth="1"/>
    <col min="6" max="6" width="22.421875" style="0" customWidth="1"/>
  </cols>
  <sheetData>
    <row r="1" spans="4:6" s="5" customFormat="1" ht="14.25">
      <c r="D1" s="320"/>
      <c r="E1" s="320"/>
      <c r="F1" s="320"/>
    </row>
    <row r="2" s="5" customFormat="1" ht="15">
      <c r="F2" s="83" t="s">
        <v>196</v>
      </c>
    </row>
    <row r="3" spans="2:7" s="5" customFormat="1" ht="26.25" customHeight="1">
      <c r="B3" s="245" t="s">
        <v>188</v>
      </c>
      <c r="C3" s="245"/>
      <c r="D3" s="245"/>
      <c r="E3" s="245"/>
      <c r="F3" s="245"/>
      <c r="G3" s="42"/>
    </row>
    <row r="4" spans="2:6" ht="45.75" customHeight="1">
      <c r="B4" s="134" t="s">
        <v>189</v>
      </c>
      <c r="C4" s="134" t="s">
        <v>140</v>
      </c>
      <c r="D4" s="135" t="s">
        <v>257</v>
      </c>
      <c r="E4" s="136" t="s">
        <v>12</v>
      </c>
      <c r="F4" s="134" t="s">
        <v>253</v>
      </c>
    </row>
    <row r="5" spans="2:6" ht="14.25" customHeight="1">
      <c r="B5" s="326" t="s">
        <v>258</v>
      </c>
      <c r="C5" s="327"/>
      <c r="D5" s="327"/>
      <c r="E5" s="327"/>
      <c r="F5" s="328"/>
    </row>
    <row r="6" spans="2:12" s="5" customFormat="1" ht="29.25" customHeight="1">
      <c r="B6" s="12" t="s">
        <v>239</v>
      </c>
      <c r="C6" s="255" t="s">
        <v>254</v>
      </c>
      <c r="D6" s="115">
        <f>'8.9. pielikums'!D36</f>
        <v>852.907</v>
      </c>
      <c r="E6" s="159">
        <v>1</v>
      </c>
      <c r="F6" s="114">
        <f>D6*E6</f>
        <v>852.907</v>
      </c>
      <c r="L6" s="62"/>
    </row>
    <row r="7" spans="2:12" ht="15">
      <c r="B7" s="88" t="s">
        <v>235</v>
      </c>
      <c r="C7" s="256"/>
      <c r="D7" s="116">
        <f>'8.9. pielikums'!G36</f>
        <v>1010.4132500000001</v>
      </c>
      <c r="E7" s="160">
        <v>80</v>
      </c>
      <c r="F7" s="114">
        <f>D7*E7</f>
        <v>80833.06</v>
      </c>
      <c r="K7" s="5"/>
      <c r="L7" s="96"/>
    </row>
    <row r="8" spans="2:12" s="5" customFormat="1" ht="15">
      <c r="B8" s="88" t="s">
        <v>236</v>
      </c>
      <c r="C8" s="256"/>
      <c r="D8" s="116">
        <f>'8.9. pielikums'!F36</f>
        <v>670.9725</v>
      </c>
      <c r="E8" s="160">
        <v>0</v>
      </c>
      <c r="F8" s="114">
        <f>D8*E8</f>
        <v>0</v>
      </c>
      <c r="L8" s="96"/>
    </row>
    <row r="9" spans="2:12" s="5" customFormat="1" ht="15">
      <c r="B9" s="88" t="s">
        <v>237</v>
      </c>
      <c r="C9" s="256"/>
      <c r="D9" s="116">
        <f>'8.9. pielikums'!I36</f>
        <v>887.1389999999999</v>
      </c>
      <c r="E9" s="160">
        <v>80</v>
      </c>
      <c r="F9" s="114">
        <f>D9*E9</f>
        <v>70971.12</v>
      </c>
      <c r="L9" s="62"/>
    </row>
    <row r="10" spans="2:11" ht="15">
      <c r="B10" s="87" t="s">
        <v>238</v>
      </c>
      <c r="C10" s="257"/>
      <c r="D10" s="116">
        <f>'8.9. pielikums'!K36</f>
        <v>1999.2324733333335</v>
      </c>
      <c r="E10" s="160">
        <v>64</v>
      </c>
      <c r="F10" s="114">
        <f>D10*E10</f>
        <v>127950.87829333334</v>
      </c>
      <c r="K10" s="5"/>
    </row>
    <row r="11" spans="2:11" ht="15.75" customHeight="1">
      <c r="B11" s="323" t="s">
        <v>255</v>
      </c>
      <c r="C11" s="324"/>
      <c r="D11" s="324"/>
      <c r="E11" s="324"/>
      <c r="F11" s="325"/>
      <c r="K11" s="5"/>
    </row>
    <row r="12" spans="2:11" ht="30.75" customHeight="1">
      <c r="B12" s="87" t="s">
        <v>190</v>
      </c>
      <c r="C12" s="315" t="s">
        <v>256</v>
      </c>
      <c r="D12" s="116">
        <f>ROUND('8.6.pielikums'!C15,2)</f>
        <v>428.39</v>
      </c>
      <c r="E12" s="86">
        <v>20</v>
      </c>
      <c r="F12" s="116">
        <f>D12*E12</f>
        <v>8567.8</v>
      </c>
      <c r="I12" s="62"/>
      <c r="K12" s="5"/>
    </row>
    <row r="13" spans="2:11" ht="30.75">
      <c r="B13" s="87" t="s">
        <v>191</v>
      </c>
      <c r="C13" s="316"/>
      <c r="D13" s="115">
        <f>'8.7.pielikums'!C12</f>
        <v>355.893</v>
      </c>
      <c r="E13" s="86">
        <v>13</v>
      </c>
      <c r="F13" s="115">
        <f>D13*E13</f>
        <v>4626.6089999999995</v>
      </c>
      <c r="I13" s="62"/>
      <c r="K13" s="5"/>
    </row>
    <row r="14" spans="2:11" ht="30.75" customHeight="1">
      <c r="B14" s="321" t="s">
        <v>186</v>
      </c>
      <c r="C14" s="321"/>
      <c r="D14" s="321"/>
      <c r="E14" s="321"/>
      <c r="F14" s="114">
        <f>SUM(F6:F10)+F12+F13</f>
        <v>293802.3742933333</v>
      </c>
      <c r="K14" s="5"/>
    </row>
    <row r="15" spans="2:11" ht="30.75" customHeight="1">
      <c r="B15" s="321" t="s">
        <v>187</v>
      </c>
      <c r="C15" s="321"/>
      <c r="D15" s="321"/>
      <c r="E15" s="321"/>
      <c r="F15" s="114">
        <v>293803</v>
      </c>
      <c r="K15" s="5"/>
    </row>
    <row r="16" spans="2:11" ht="15">
      <c r="B16" s="322" t="s">
        <v>185</v>
      </c>
      <c r="C16" s="322"/>
      <c r="D16" s="322"/>
      <c r="E16" s="322"/>
      <c r="F16" s="113">
        <f>F15-F14</f>
        <v>0.625706666673068</v>
      </c>
      <c r="K16" s="5"/>
    </row>
    <row r="17" spans="2:11" ht="14.25">
      <c r="B17" s="317" t="s">
        <v>195</v>
      </c>
      <c r="C17" s="318"/>
      <c r="D17" s="318"/>
      <c r="E17" s="319"/>
      <c r="F17" s="99">
        <f>F16/F15</f>
        <v>2.1296809994216123E-06</v>
      </c>
      <c r="K17" s="5"/>
    </row>
    <row r="18" ht="14.25">
      <c r="K18" s="5"/>
    </row>
  </sheetData>
  <sheetProtection/>
  <mergeCells count="10">
    <mergeCell ref="C12:C13"/>
    <mergeCell ref="B17:E17"/>
    <mergeCell ref="C6:C10"/>
    <mergeCell ref="D1:F1"/>
    <mergeCell ref="B14:E14"/>
    <mergeCell ref="B15:E15"/>
    <mergeCell ref="B16:E16"/>
    <mergeCell ref="B3:F3"/>
    <mergeCell ref="B11:F11"/>
    <mergeCell ref="B5:F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R31"/>
  <sheetViews>
    <sheetView showGridLines="0" zoomScale="60" zoomScaleNormal="60" zoomScaleSheetLayoutView="40" zoomScalePageLayoutView="0" workbookViewId="0" topLeftCell="A7">
      <selection activeCell="A28" sqref="A28:L28"/>
    </sheetView>
  </sheetViews>
  <sheetFormatPr defaultColWidth="9.140625" defaultRowHeight="15"/>
  <cols>
    <col min="1" max="1" width="36.7109375" style="0" customWidth="1"/>
    <col min="2" max="2" width="14.421875" style="0" customWidth="1"/>
    <col min="3" max="3" width="11.57421875" style="0" customWidth="1"/>
    <col min="4" max="4" width="11.00390625" style="0" customWidth="1"/>
    <col min="5" max="5" width="14.140625" style="0" customWidth="1"/>
    <col min="6" max="6" width="11.8515625" style="0" customWidth="1"/>
    <col min="7" max="7" width="11.140625" style="0" customWidth="1"/>
    <col min="8" max="8" width="14.421875" style="0" customWidth="1"/>
    <col min="9" max="9" width="9.8515625" style="0" customWidth="1"/>
    <col min="10" max="10" width="13.140625" style="0" customWidth="1"/>
    <col min="11" max="11" width="13.421875" style="0" customWidth="1"/>
    <col min="12" max="12" width="10.57421875" style="0" customWidth="1"/>
    <col min="13" max="13" width="11.421875" style="0" customWidth="1"/>
    <col min="14" max="14" width="15.421875" style="0" hidden="1" customWidth="1"/>
    <col min="16" max="16" width="10.421875" style="0" hidden="1" customWidth="1"/>
    <col min="17" max="19" width="0" style="0" hidden="1" customWidth="1"/>
  </cols>
  <sheetData>
    <row r="1" ht="18.75" customHeight="1"/>
    <row r="2" spans="12:13" ht="15">
      <c r="L2" s="214" t="s">
        <v>203</v>
      </c>
      <c r="M2" s="214"/>
    </row>
    <row r="3" spans="1:11" ht="31.5" customHeight="1">
      <c r="A3" s="215" t="s">
        <v>134</v>
      </c>
      <c r="B3" s="215"/>
      <c r="C3" s="215"/>
      <c r="D3" s="215"/>
      <c r="E3" s="215"/>
      <c r="F3" s="215"/>
      <c r="G3" s="215"/>
      <c r="H3" s="215"/>
      <c r="I3" s="215"/>
      <c r="J3" s="215"/>
      <c r="K3" s="215"/>
    </row>
    <row r="5" spans="1:14" s="5" customFormat="1" ht="14.25" customHeight="1">
      <c r="A5" s="209" t="s">
        <v>117</v>
      </c>
      <c r="B5" s="208" t="s">
        <v>49</v>
      </c>
      <c r="C5" s="208"/>
      <c r="D5" s="208"/>
      <c r="E5" s="208"/>
      <c r="F5" s="208"/>
      <c r="G5" s="208"/>
      <c r="H5" s="208"/>
      <c r="I5" s="208"/>
      <c r="J5" s="208"/>
      <c r="K5" s="208"/>
      <c r="L5" s="208"/>
      <c r="M5" s="208"/>
      <c r="N5" s="211" t="s">
        <v>129</v>
      </c>
    </row>
    <row r="6" spans="1:14" s="5" customFormat="1" ht="21" customHeight="1">
      <c r="A6" s="209"/>
      <c r="B6" s="208" t="s">
        <v>48</v>
      </c>
      <c r="C6" s="208"/>
      <c r="D6" s="208"/>
      <c r="E6" s="208" t="s">
        <v>119</v>
      </c>
      <c r="F6" s="208"/>
      <c r="G6" s="208"/>
      <c r="H6" s="208" t="s">
        <v>44</v>
      </c>
      <c r="I6" s="208"/>
      <c r="J6" s="208"/>
      <c r="K6" s="208" t="s">
        <v>33</v>
      </c>
      <c r="L6" s="208"/>
      <c r="M6" s="208"/>
      <c r="N6" s="212"/>
    </row>
    <row r="7" spans="1:14" ht="62.25">
      <c r="A7" s="209"/>
      <c r="B7" s="97" t="s">
        <v>130</v>
      </c>
      <c r="C7" s="97" t="s">
        <v>12</v>
      </c>
      <c r="D7" s="97" t="s">
        <v>118</v>
      </c>
      <c r="E7" s="97" t="s">
        <v>131</v>
      </c>
      <c r="F7" s="97" t="s">
        <v>12</v>
      </c>
      <c r="G7" s="97" t="s">
        <v>118</v>
      </c>
      <c r="H7" s="97" t="s">
        <v>131</v>
      </c>
      <c r="I7" s="97" t="s">
        <v>12</v>
      </c>
      <c r="J7" s="97" t="s">
        <v>118</v>
      </c>
      <c r="K7" s="97" t="s">
        <v>132</v>
      </c>
      <c r="L7" s="97" t="s">
        <v>12</v>
      </c>
      <c r="M7" s="97" t="s">
        <v>118</v>
      </c>
      <c r="N7" s="213"/>
    </row>
    <row r="8" spans="1:16" ht="15">
      <c r="A8" s="45" t="s">
        <v>120</v>
      </c>
      <c r="B8" s="27">
        <f>SUM(B9:B14)</f>
        <v>500</v>
      </c>
      <c r="C8" s="27" t="s">
        <v>47</v>
      </c>
      <c r="D8" s="27">
        <f>SUM(D9:D14)</f>
        <v>500</v>
      </c>
      <c r="E8" s="157">
        <f>SUM(E9:E14)</f>
        <v>344.10499999999996</v>
      </c>
      <c r="F8" s="27" t="s">
        <v>47</v>
      </c>
      <c r="G8" s="27">
        <f>SUM(G9:G14)</f>
        <v>27528.399999999998</v>
      </c>
      <c r="H8" s="157">
        <f>SUM(H9:H14)</f>
        <v>586.79</v>
      </c>
      <c r="I8" s="27" t="s">
        <v>47</v>
      </c>
      <c r="J8" s="27">
        <f>SUM(J9:J14)</f>
        <v>46943.2</v>
      </c>
      <c r="K8" s="157">
        <f>SUM(K9:K14)</f>
        <v>1125.11</v>
      </c>
      <c r="L8" s="18" t="s">
        <v>47</v>
      </c>
      <c r="M8" s="27">
        <f>SUM(M9:M14)</f>
        <v>72007.04000000001</v>
      </c>
      <c r="N8" s="63">
        <f>D8+G8+J8+M8</f>
        <v>146978.64</v>
      </c>
      <c r="P8" s="62"/>
    </row>
    <row r="9" spans="1:15" ht="15">
      <c r="A9" s="12" t="s">
        <v>126</v>
      </c>
      <c r="B9" s="161">
        <f>'8.2.pielikums'!H12</f>
        <v>0</v>
      </c>
      <c r="C9" s="162">
        <v>1</v>
      </c>
      <c r="D9" s="161">
        <f>ROUND((C9*B9),2)</f>
        <v>0</v>
      </c>
      <c r="E9" s="161">
        <f>'8.2.pielikums'!H13</f>
        <v>110.58</v>
      </c>
      <c r="F9" s="162">
        <v>80</v>
      </c>
      <c r="G9" s="161">
        <f>ROUND((F9*E9),2)</f>
        <v>8846.4</v>
      </c>
      <c r="H9" s="161">
        <f>'8.2.pielikums'!H14</f>
        <v>110.58</v>
      </c>
      <c r="I9" s="162">
        <v>80</v>
      </c>
      <c r="J9" s="161">
        <f>ROUND((I9*H9),2)</f>
        <v>8846.4</v>
      </c>
      <c r="K9" s="161">
        <f>'8.2.pielikums'!H15</f>
        <v>107.51</v>
      </c>
      <c r="L9" s="162">
        <v>64</v>
      </c>
      <c r="M9" s="161">
        <f aca="true" t="shared" si="0" ref="M9:M14">ROUND((L9*K9),2)</f>
        <v>6880.64</v>
      </c>
      <c r="N9" s="64">
        <f aca="true" t="shared" si="1" ref="N9:N18">D9+G9+J9+M9</f>
        <v>24573.44</v>
      </c>
      <c r="O9" s="62"/>
    </row>
    <row r="10" spans="1:14" ht="15">
      <c r="A10" s="12" t="s">
        <v>127</v>
      </c>
      <c r="B10" s="161">
        <f>'8.2.pielikums'!J12</f>
        <v>0</v>
      </c>
      <c r="C10" s="162">
        <v>1</v>
      </c>
      <c r="D10" s="161">
        <f aca="true" t="shared" si="2" ref="D10:D17">ROUND((C10*B10),2)</f>
        <v>0</v>
      </c>
      <c r="E10" s="161">
        <f>'8.2.pielikums'!J13+'8.2.pielikums'!L13</f>
        <v>110.39</v>
      </c>
      <c r="F10" s="162">
        <v>80</v>
      </c>
      <c r="G10" s="161">
        <f aca="true" t="shared" si="3" ref="G10:G17">ROUND((F10*E10),2)</f>
        <v>8831.2</v>
      </c>
      <c r="H10" s="161">
        <f>'8.2.pielikums'!J14+'8.2.pielikums'!L14</f>
        <v>110.39</v>
      </c>
      <c r="I10" s="162">
        <v>80</v>
      </c>
      <c r="J10" s="161">
        <f aca="true" t="shared" si="4" ref="J10:J17">ROUND((I10*H10),2)</f>
        <v>8831.2</v>
      </c>
      <c r="K10" s="161">
        <f>'8.2.pielikums'!J15+'8.2.pielikums'!L15</f>
        <v>107.33</v>
      </c>
      <c r="L10" s="162">
        <v>64</v>
      </c>
      <c r="M10" s="161">
        <f t="shared" si="0"/>
        <v>6869.12</v>
      </c>
      <c r="N10" s="64">
        <f t="shared" si="1"/>
        <v>24531.52</v>
      </c>
    </row>
    <row r="11" spans="1:14" ht="15">
      <c r="A11" s="12" t="s">
        <v>128</v>
      </c>
      <c r="B11" s="161">
        <f>'8.2.pielikums'!N12</f>
        <v>0</v>
      </c>
      <c r="C11" s="162">
        <v>1</v>
      </c>
      <c r="D11" s="161">
        <f t="shared" si="2"/>
        <v>0</v>
      </c>
      <c r="E11" s="161">
        <f>'8.2.pielikums'!N13</f>
        <v>91.31</v>
      </c>
      <c r="F11" s="162">
        <v>80</v>
      </c>
      <c r="G11" s="161">
        <f t="shared" si="3"/>
        <v>7304.8</v>
      </c>
      <c r="H11" s="161">
        <f>'8.2.pielikums'!N14</f>
        <v>93.92</v>
      </c>
      <c r="I11" s="162">
        <v>80</v>
      </c>
      <c r="J11" s="161">
        <f t="shared" si="4"/>
        <v>7513.6</v>
      </c>
      <c r="K11" s="161">
        <f>'8.2.pielikums'!N15</f>
        <v>94.57</v>
      </c>
      <c r="L11" s="162">
        <v>64</v>
      </c>
      <c r="M11" s="161">
        <f t="shared" si="0"/>
        <v>6052.48</v>
      </c>
      <c r="N11" s="64">
        <f t="shared" si="1"/>
        <v>20870.88</v>
      </c>
    </row>
    <row r="12" spans="1:14" ht="15">
      <c r="A12" s="52" t="s">
        <v>136</v>
      </c>
      <c r="B12" s="161">
        <v>500</v>
      </c>
      <c r="C12" s="162">
        <v>1</v>
      </c>
      <c r="D12" s="161">
        <f t="shared" si="2"/>
        <v>500</v>
      </c>
      <c r="E12" s="161">
        <v>0</v>
      </c>
      <c r="F12" s="162">
        <v>0</v>
      </c>
      <c r="G12" s="161">
        <f t="shared" si="3"/>
        <v>0</v>
      </c>
      <c r="H12" s="161">
        <v>0</v>
      </c>
      <c r="I12" s="162">
        <v>0</v>
      </c>
      <c r="J12" s="161">
        <f t="shared" si="4"/>
        <v>0</v>
      </c>
      <c r="K12" s="161">
        <v>0</v>
      </c>
      <c r="L12" s="162">
        <v>64</v>
      </c>
      <c r="M12" s="161">
        <f t="shared" si="0"/>
        <v>0</v>
      </c>
      <c r="N12" s="64">
        <f t="shared" si="1"/>
        <v>500</v>
      </c>
    </row>
    <row r="13" spans="1:14" s="5" customFormat="1" ht="15">
      <c r="A13" s="52" t="s">
        <v>135</v>
      </c>
      <c r="B13" s="161">
        <v>0</v>
      </c>
      <c r="C13" s="162">
        <v>0</v>
      </c>
      <c r="D13" s="161">
        <f t="shared" si="2"/>
        <v>0</v>
      </c>
      <c r="E13" s="161">
        <v>0</v>
      </c>
      <c r="F13" s="162">
        <v>0</v>
      </c>
      <c r="G13" s="161">
        <f t="shared" si="3"/>
        <v>0</v>
      </c>
      <c r="H13" s="161">
        <f>271.9</f>
        <v>271.9</v>
      </c>
      <c r="I13" s="162">
        <v>80</v>
      </c>
      <c r="J13" s="161">
        <f t="shared" si="4"/>
        <v>21752</v>
      </c>
      <c r="K13" s="161">
        <f>271.9*3</f>
        <v>815.6999999999999</v>
      </c>
      <c r="L13" s="162">
        <v>64</v>
      </c>
      <c r="M13" s="161">
        <f t="shared" si="0"/>
        <v>52204.8</v>
      </c>
      <c r="N13" s="64">
        <f t="shared" si="1"/>
        <v>73956.8</v>
      </c>
    </row>
    <row r="14" spans="1:14" ht="15">
      <c r="A14" s="52" t="s">
        <v>137</v>
      </c>
      <c r="B14" s="161">
        <v>0</v>
      </c>
      <c r="C14" s="162">
        <v>0</v>
      </c>
      <c r="D14" s="161">
        <f t="shared" si="2"/>
        <v>0</v>
      </c>
      <c r="E14" s="161">
        <f>127.3*20/80</f>
        <v>31.825</v>
      </c>
      <c r="F14" s="162">
        <v>80</v>
      </c>
      <c r="G14" s="161">
        <f>ROUND((F14*E14),2)</f>
        <v>2546</v>
      </c>
      <c r="H14" s="161"/>
      <c r="I14" s="162"/>
      <c r="J14" s="161"/>
      <c r="K14" s="161">
        <v>0</v>
      </c>
      <c r="L14" s="162">
        <v>0</v>
      </c>
      <c r="M14" s="161">
        <f t="shared" si="0"/>
        <v>0</v>
      </c>
      <c r="N14" s="64">
        <f t="shared" si="1"/>
        <v>2546</v>
      </c>
    </row>
    <row r="15" spans="1:15" ht="15.75" customHeight="1">
      <c r="A15" s="205" t="s">
        <v>245</v>
      </c>
      <c r="B15" s="206"/>
      <c r="C15" s="206"/>
      <c r="D15" s="206"/>
      <c r="E15" s="206"/>
      <c r="F15" s="206"/>
      <c r="G15" s="206"/>
      <c r="H15" s="206"/>
      <c r="I15" s="206"/>
      <c r="J15" s="206"/>
      <c r="K15" s="206"/>
      <c r="L15" s="206"/>
      <c r="M15" s="207"/>
      <c r="N15" s="63">
        <f>D15+G15+J15+M15</f>
        <v>0</v>
      </c>
      <c r="O15" s="62"/>
    </row>
    <row r="16" spans="1:15" s="5" customFormat="1" ht="15">
      <c r="A16" s="12" t="s">
        <v>240</v>
      </c>
      <c r="B16" s="132"/>
      <c r="C16" s="132"/>
      <c r="D16" s="132"/>
      <c r="E16" s="72">
        <f>'8.9. pielikums'!G9</f>
        <v>574.4525</v>
      </c>
      <c r="F16" s="163">
        <v>80</v>
      </c>
      <c r="G16" s="164">
        <f t="shared" si="3"/>
        <v>45956.2</v>
      </c>
      <c r="H16" s="132"/>
      <c r="I16" s="132"/>
      <c r="J16" s="132"/>
      <c r="K16" s="132"/>
      <c r="L16" s="132"/>
      <c r="M16" s="132"/>
      <c r="N16" s="63"/>
      <c r="O16" s="62"/>
    </row>
    <row r="17" spans="1:16" s="5" customFormat="1" ht="15">
      <c r="A17" s="12" t="s">
        <v>241</v>
      </c>
      <c r="B17" s="72">
        <f>'8.9. pielikums'!D9</f>
        <v>275.37</v>
      </c>
      <c r="C17" s="163">
        <v>1</v>
      </c>
      <c r="D17" s="72">
        <f t="shared" si="2"/>
        <v>275.37</v>
      </c>
      <c r="E17" s="72">
        <f>'8.9. pielikums'!F9</f>
        <v>265.87</v>
      </c>
      <c r="F17" s="163">
        <v>0</v>
      </c>
      <c r="G17" s="164">
        <f t="shared" si="3"/>
        <v>0</v>
      </c>
      <c r="H17" s="164">
        <f>'8.9. pielikums'!I9</f>
        <v>219.7</v>
      </c>
      <c r="I17" s="163">
        <v>80</v>
      </c>
      <c r="J17" s="72">
        <f t="shared" si="4"/>
        <v>17576</v>
      </c>
      <c r="K17" s="72">
        <f>'8.9. pielikums'!K9</f>
        <v>692.3740666666667</v>
      </c>
      <c r="L17" s="48">
        <v>64</v>
      </c>
      <c r="M17" s="27">
        <f>ROUND((L17*K17),2)</f>
        <v>44311.94</v>
      </c>
      <c r="N17" s="63"/>
      <c r="O17" s="62"/>
      <c r="P17" s="62"/>
    </row>
    <row r="18" spans="1:16" ht="15">
      <c r="A18" s="205" t="s">
        <v>138</v>
      </c>
      <c r="B18" s="206"/>
      <c r="C18" s="206"/>
      <c r="D18" s="206"/>
      <c r="E18" s="206"/>
      <c r="F18" s="206"/>
      <c r="G18" s="206"/>
      <c r="H18" s="206"/>
      <c r="I18" s="206"/>
      <c r="J18" s="206"/>
      <c r="K18" s="206"/>
      <c r="L18" s="206"/>
      <c r="M18" s="207"/>
      <c r="N18" s="63">
        <f t="shared" si="1"/>
        <v>0</v>
      </c>
      <c r="P18" s="5"/>
    </row>
    <row r="19" spans="1:18" s="5" customFormat="1" ht="15">
      <c r="A19" s="12" t="s">
        <v>240</v>
      </c>
      <c r="B19" s="132"/>
      <c r="C19" s="132"/>
      <c r="D19" s="132"/>
      <c r="E19" s="72">
        <f>(E8+E16)*0.1</f>
        <v>91.85575</v>
      </c>
      <c r="F19" s="132"/>
      <c r="G19" s="72">
        <f>(G8+G16)*0.1</f>
        <v>7348.459999999999</v>
      </c>
      <c r="H19" s="132"/>
      <c r="I19" s="132"/>
      <c r="J19" s="132"/>
      <c r="K19" s="72">
        <f>(K17+K8)*0.1</f>
        <v>181.74840666666668</v>
      </c>
      <c r="L19" s="132"/>
      <c r="M19" s="72">
        <f>(M17+M8)*0.1</f>
        <v>11631.898000000001</v>
      </c>
      <c r="N19" s="95"/>
      <c r="P19" s="62">
        <f>D20+G19+G20+J19+J20+M19</f>
        <v>25509.815000000002</v>
      </c>
      <c r="R19" s="5">
        <f>P19/12</f>
        <v>2125.817916666667</v>
      </c>
    </row>
    <row r="20" spans="1:14" s="5" customFormat="1" ht="18.75" customHeight="1">
      <c r="A20" s="12" t="s">
        <v>241</v>
      </c>
      <c r="B20" s="72">
        <f>(B17+B8)*10%</f>
        <v>77.537</v>
      </c>
      <c r="C20" s="132"/>
      <c r="D20" s="72">
        <f>(D17+D8)*10%</f>
        <v>77.537</v>
      </c>
      <c r="E20" s="72">
        <f>(E17+E8)*10%</f>
        <v>60.997499999999995</v>
      </c>
      <c r="F20" s="132"/>
      <c r="G20" s="132"/>
      <c r="H20" s="72">
        <f>(H17+H8)*10%</f>
        <v>80.649</v>
      </c>
      <c r="I20" s="132"/>
      <c r="J20" s="72">
        <f>(J17+J8)*10%</f>
        <v>6451.92</v>
      </c>
      <c r="K20" s="132"/>
      <c r="L20" s="132"/>
      <c r="M20" s="132"/>
      <c r="N20" s="95"/>
    </row>
    <row r="21" spans="1:16" ht="13.5" customHeight="1">
      <c r="A21" s="14"/>
      <c r="B21" s="14"/>
      <c r="C21" s="14"/>
      <c r="D21" s="14"/>
      <c r="E21" s="14"/>
      <c r="F21" s="14"/>
      <c r="G21" s="14"/>
      <c r="H21" s="14"/>
      <c r="I21" s="14"/>
      <c r="J21" s="49"/>
      <c r="K21" s="14"/>
      <c r="L21" s="14"/>
      <c r="M21" s="14"/>
      <c r="N21" s="62"/>
      <c r="P21" s="77"/>
    </row>
    <row r="22" spans="1:16" s="5" customFormat="1" ht="15">
      <c r="A22" s="14"/>
      <c r="B22" s="70"/>
      <c r="C22" s="70"/>
      <c r="D22" s="70"/>
      <c r="E22" s="70"/>
      <c r="F22" s="70"/>
      <c r="G22" s="70"/>
      <c r="H22" s="70"/>
      <c r="I22" s="70"/>
      <c r="J22" s="70"/>
      <c r="K22" s="70"/>
      <c r="L22" s="70"/>
      <c r="M22" s="70"/>
      <c r="N22" s="62"/>
      <c r="P22" s="78">
        <f>B20*C17+E19*F16+E20*F17+H19*I16+H20*I17+K19*L17</f>
        <v>25509.81502666667</v>
      </c>
    </row>
    <row r="23" spans="1:17" ht="15" customHeight="1">
      <c r="A23" s="210" t="s">
        <v>244</v>
      </c>
      <c r="B23" s="210"/>
      <c r="C23" s="210"/>
      <c r="D23" s="210"/>
      <c r="E23" s="210"/>
      <c r="F23" s="210"/>
      <c r="G23" s="210"/>
      <c r="H23" s="210"/>
      <c r="I23" s="210"/>
      <c r="J23" s="210"/>
      <c r="K23" s="210"/>
      <c r="L23" s="210"/>
      <c r="P23" s="62"/>
      <c r="Q23" s="81"/>
    </row>
    <row r="24" spans="1:17" s="7" customFormat="1" ht="40.5" customHeight="1">
      <c r="A24" s="216" t="s">
        <v>362</v>
      </c>
      <c r="B24" s="216"/>
      <c r="C24" s="216"/>
      <c r="D24" s="216"/>
      <c r="E24" s="216"/>
      <c r="F24" s="216"/>
      <c r="G24" s="216"/>
      <c r="H24" s="216"/>
      <c r="I24" s="216"/>
      <c r="J24" s="216"/>
      <c r="K24" s="216"/>
      <c r="L24" s="216"/>
      <c r="M24" s="65"/>
      <c r="P24" s="76"/>
      <c r="Q24" s="76"/>
    </row>
    <row r="25" spans="1:17" s="7" customFormat="1" ht="75" customHeight="1">
      <c r="A25" s="210" t="s">
        <v>363</v>
      </c>
      <c r="B25" s="210"/>
      <c r="C25" s="210"/>
      <c r="D25" s="210"/>
      <c r="E25" s="210"/>
      <c r="F25" s="210"/>
      <c r="G25" s="210"/>
      <c r="H25" s="210"/>
      <c r="I25" s="210"/>
      <c r="J25" s="210"/>
      <c r="K25" s="210"/>
      <c r="L25" s="210"/>
      <c r="M25" s="65"/>
      <c r="P25" s="76"/>
      <c r="Q25" s="7">
        <f>220*1.2359</f>
        <v>271.898</v>
      </c>
    </row>
    <row r="26" spans="1:16" s="7" customFormat="1" ht="93" customHeight="1">
      <c r="A26" s="210" t="s">
        <v>364</v>
      </c>
      <c r="B26" s="210"/>
      <c r="C26" s="210"/>
      <c r="D26" s="210"/>
      <c r="E26" s="210"/>
      <c r="F26" s="210"/>
      <c r="G26" s="210"/>
      <c r="H26" s="210"/>
      <c r="I26" s="210"/>
      <c r="J26" s="210"/>
      <c r="K26" s="210"/>
      <c r="L26" s="210"/>
      <c r="M26" s="65"/>
      <c r="P26" s="76"/>
    </row>
    <row r="27" spans="1:13" ht="28.5" customHeight="1">
      <c r="A27" s="210" t="s">
        <v>332</v>
      </c>
      <c r="B27" s="210"/>
      <c r="C27" s="210"/>
      <c r="D27" s="210"/>
      <c r="E27" s="210"/>
      <c r="F27" s="210"/>
      <c r="G27" s="210"/>
      <c r="H27" s="210"/>
      <c r="I27" s="210"/>
      <c r="J27" s="210"/>
      <c r="K27" s="210"/>
      <c r="L27" s="210"/>
      <c r="M27" s="14"/>
    </row>
    <row r="28" spans="1:13" ht="84" customHeight="1">
      <c r="A28" s="210" t="s">
        <v>365</v>
      </c>
      <c r="B28" s="210"/>
      <c r="C28" s="210"/>
      <c r="D28" s="210"/>
      <c r="E28" s="210"/>
      <c r="F28" s="210"/>
      <c r="G28" s="210"/>
      <c r="H28" s="210"/>
      <c r="I28" s="210"/>
      <c r="J28" s="210"/>
      <c r="K28" s="210"/>
      <c r="L28" s="210"/>
      <c r="M28" s="14"/>
    </row>
    <row r="29" spans="1:13" ht="15">
      <c r="A29" s="14"/>
      <c r="B29" s="14"/>
      <c r="C29" s="14"/>
      <c r="D29" s="14"/>
      <c r="E29" s="14"/>
      <c r="F29" s="14"/>
      <c r="G29" s="14"/>
      <c r="H29" s="14"/>
      <c r="I29" s="14"/>
      <c r="J29" s="14"/>
      <c r="K29" s="14"/>
      <c r="L29" s="14"/>
      <c r="M29" s="14"/>
    </row>
    <row r="30" spans="1:13" ht="15">
      <c r="A30" s="14"/>
      <c r="B30" s="14"/>
      <c r="C30" s="14"/>
      <c r="D30" s="14"/>
      <c r="E30" s="14"/>
      <c r="F30" s="14"/>
      <c r="G30" s="14"/>
      <c r="H30" s="14"/>
      <c r="I30" s="14"/>
      <c r="J30" s="14"/>
      <c r="K30" s="14"/>
      <c r="L30" s="14"/>
      <c r="M30" s="14"/>
    </row>
    <row r="31" spans="1:13" ht="15">
      <c r="A31" s="14"/>
      <c r="B31" s="14"/>
      <c r="C31" s="14"/>
      <c r="D31" s="14"/>
      <c r="E31" s="14"/>
      <c r="F31" s="14"/>
      <c r="G31" s="14"/>
      <c r="H31" s="14"/>
      <c r="I31" s="14"/>
      <c r="J31" s="14"/>
      <c r="K31" s="14"/>
      <c r="L31" s="14"/>
      <c r="M31" s="14"/>
    </row>
  </sheetData>
  <sheetProtection/>
  <mergeCells count="17">
    <mergeCell ref="A28:L28"/>
    <mergeCell ref="A25:L25"/>
    <mergeCell ref="A26:L26"/>
    <mergeCell ref="N5:N7"/>
    <mergeCell ref="L2:M2"/>
    <mergeCell ref="A3:K3"/>
    <mergeCell ref="A23:L23"/>
    <mergeCell ref="A24:L24"/>
    <mergeCell ref="A27:L27"/>
    <mergeCell ref="B6:D6"/>
    <mergeCell ref="A18:M18"/>
    <mergeCell ref="E6:G6"/>
    <mergeCell ref="H6:J6"/>
    <mergeCell ref="K6:M6"/>
    <mergeCell ref="B5:M5"/>
    <mergeCell ref="A5:A7"/>
    <mergeCell ref="A15:M15"/>
  </mergeCells>
  <printOptions/>
  <pageMargins left="0.7" right="0.7" top="0.75" bottom="0.75" header="0.3" footer="0.3"/>
  <pageSetup fitToHeight="0"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3:N55"/>
  <sheetViews>
    <sheetView showGridLines="0" zoomScale="130" zoomScaleNormal="130" zoomScalePageLayoutView="0" workbookViewId="0" topLeftCell="A20">
      <selection activeCell="B55" sqref="B55:M55"/>
    </sheetView>
  </sheetViews>
  <sheetFormatPr defaultColWidth="9.140625" defaultRowHeight="15"/>
  <cols>
    <col min="2" max="2" width="24.421875" style="0" customWidth="1"/>
    <col min="3" max="3" width="14.57421875" style="0" hidden="1" customWidth="1"/>
    <col min="4" max="4" width="11.8515625" style="5" hidden="1" customWidth="1"/>
    <col min="5" max="5" width="14.57421875" style="0" hidden="1" customWidth="1"/>
    <col min="6" max="6" width="11.8515625" style="5" hidden="1" customWidth="1"/>
    <col min="7" max="7" width="11.8515625" style="0" customWidth="1"/>
    <col min="8" max="8" width="11.8515625" style="5" customWidth="1"/>
    <col min="9" max="9" width="11.8515625" style="0" customWidth="1"/>
    <col min="10" max="12" width="11.8515625" style="5" customWidth="1"/>
    <col min="13" max="13" width="11.8515625" style="0" customWidth="1"/>
    <col min="14" max="14" width="10.140625" style="0" customWidth="1"/>
  </cols>
  <sheetData>
    <row r="1" ht="15"/>
    <row r="2" s="5" customFormat="1" ht="15"/>
    <row r="3" spans="9:14" s="5" customFormat="1" ht="15.75">
      <c r="I3" s="46"/>
      <c r="J3" s="46"/>
      <c r="K3" s="46"/>
      <c r="L3" s="46"/>
      <c r="M3" s="214" t="s">
        <v>202</v>
      </c>
      <c r="N3" s="214"/>
    </row>
    <row r="4" s="5" customFormat="1" ht="15"/>
    <row r="5" spans="2:13" s="5" customFormat="1" ht="43.5" customHeight="1">
      <c r="B5" s="217" t="s">
        <v>56</v>
      </c>
      <c r="C5" s="217"/>
      <c r="D5" s="217"/>
      <c r="E5" s="217"/>
      <c r="F5" s="217"/>
      <c r="G5" s="217"/>
      <c r="H5" s="217"/>
      <c r="I5" s="217"/>
      <c r="J5" s="217"/>
      <c r="K5" s="217"/>
      <c r="L5" s="217"/>
      <c r="M5" s="217"/>
    </row>
    <row r="6" ht="15"/>
    <row r="7" spans="2:14" ht="37.5" customHeight="1">
      <c r="B7" s="218" t="s">
        <v>49</v>
      </c>
      <c r="C7" s="221" t="s">
        <v>50</v>
      </c>
      <c r="D7" s="222"/>
      <c r="E7" s="209" t="s">
        <v>121</v>
      </c>
      <c r="F7" s="209"/>
      <c r="G7" s="209" t="s">
        <v>52</v>
      </c>
      <c r="H7" s="209"/>
      <c r="I7" s="209"/>
      <c r="J7" s="209"/>
      <c r="K7" s="209"/>
      <c r="L7" s="209"/>
      <c r="M7" s="209"/>
      <c r="N7" s="209"/>
    </row>
    <row r="8" spans="2:14" ht="31.5" customHeight="1">
      <c r="B8" s="219"/>
      <c r="C8" s="223"/>
      <c r="D8" s="224"/>
      <c r="E8" s="209"/>
      <c r="F8" s="209"/>
      <c r="G8" s="209" t="s">
        <v>4</v>
      </c>
      <c r="H8" s="209"/>
      <c r="I8" s="209" t="s">
        <v>316</v>
      </c>
      <c r="J8" s="209"/>
      <c r="K8" s="209" t="s">
        <v>317</v>
      </c>
      <c r="L8" s="209"/>
      <c r="M8" s="209" t="s">
        <v>51</v>
      </c>
      <c r="N8" s="209"/>
    </row>
    <row r="9" spans="2:14" s="5" customFormat="1" ht="77.25" customHeight="1">
      <c r="B9" s="220"/>
      <c r="C9" s="97" t="s">
        <v>122</v>
      </c>
      <c r="D9" s="97" t="s">
        <v>123</v>
      </c>
      <c r="E9" s="97" t="s">
        <v>320</v>
      </c>
      <c r="F9" s="97" t="s">
        <v>124</v>
      </c>
      <c r="G9" s="97" t="s">
        <v>192</v>
      </c>
      <c r="H9" s="97" t="s">
        <v>57</v>
      </c>
      <c r="I9" s="97" t="s">
        <v>192</v>
      </c>
      <c r="J9" s="97" t="s">
        <v>57</v>
      </c>
      <c r="K9" s="152"/>
      <c r="L9" s="152"/>
      <c r="M9" s="97" t="s">
        <v>193</v>
      </c>
      <c r="N9" s="97" t="s">
        <v>57</v>
      </c>
    </row>
    <row r="10" spans="2:14" s="5" customFormat="1" ht="15" hidden="1">
      <c r="B10" s="2">
        <v>1</v>
      </c>
      <c r="C10" s="25">
        <v>2</v>
      </c>
      <c r="D10" s="39">
        <v>3</v>
      </c>
      <c r="E10" s="25">
        <v>4</v>
      </c>
      <c r="F10" s="39">
        <v>5</v>
      </c>
      <c r="G10" s="25">
        <v>6</v>
      </c>
      <c r="H10" s="25">
        <v>7</v>
      </c>
      <c r="I10" s="25">
        <v>8</v>
      </c>
      <c r="J10" s="25">
        <v>9</v>
      </c>
      <c r="K10" s="154"/>
      <c r="L10" s="154"/>
      <c r="M10" s="25">
        <v>10</v>
      </c>
      <c r="N10" s="30">
        <v>11</v>
      </c>
    </row>
    <row r="11" spans="2:14" s="5" customFormat="1" ht="15.75">
      <c r="B11" s="31" t="s">
        <v>54</v>
      </c>
      <c r="C11" s="24"/>
      <c r="D11" s="75"/>
      <c r="E11" s="24"/>
      <c r="F11" s="24"/>
      <c r="G11" s="165">
        <f>1899.58*12+1774.89+4.32</f>
        <v>24574.17</v>
      </c>
      <c r="H11" s="24"/>
      <c r="I11" s="165">
        <f>ROUND((1595.55*5.5)+(1595.55*6.5*0.6),2)+1490.82+4.32</f>
        <v>16493.31</v>
      </c>
      <c r="J11" s="24"/>
      <c r="K11" s="165">
        <f>ROUND((1595.55*6.5)*0.7,2)+776.2+2.52</f>
        <v>8038.47</v>
      </c>
      <c r="L11" s="155"/>
      <c r="M11" s="165">
        <f>(1899.58*5.5)+(1899.58*0.7*6.5)+1774.89+4.32</f>
        <v>20869.988999999998</v>
      </c>
      <c r="N11" s="29"/>
    </row>
    <row r="12" spans="2:14" ht="15.75">
      <c r="B12" s="13" t="s">
        <v>48</v>
      </c>
      <c r="C12" s="80">
        <v>1</v>
      </c>
      <c r="D12" s="22">
        <v>0</v>
      </c>
      <c r="E12" s="22">
        <f>ROUND(C12/C16*100,0)</f>
        <v>0</v>
      </c>
      <c r="F12" s="22">
        <v>0</v>
      </c>
      <c r="G12" s="23">
        <f>ROUND((E12*G11)/100,2)</f>
        <v>0</v>
      </c>
      <c r="H12" s="23">
        <f>ROUND(G12/C12,2)</f>
        <v>0</v>
      </c>
      <c r="I12" s="23">
        <f>ROUND((E12*I11)/100,2)</f>
        <v>0</v>
      </c>
      <c r="J12" s="23">
        <f>ROUND(I12/C12,2)</f>
        <v>0</v>
      </c>
      <c r="K12" s="23">
        <v>0</v>
      </c>
      <c r="L12" s="23">
        <v>0</v>
      </c>
      <c r="M12" s="23">
        <v>0</v>
      </c>
      <c r="N12" s="23">
        <f>ROUND(M12/C12,2)</f>
        <v>0</v>
      </c>
    </row>
    <row r="13" spans="2:14" ht="31.5">
      <c r="B13" s="13" t="s">
        <v>41</v>
      </c>
      <c r="C13" s="22">
        <v>80</v>
      </c>
      <c r="D13" s="22">
        <v>80</v>
      </c>
      <c r="E13" s="22">
        <f>ROUND(C13/C16*100,0)</f>
        <v>36</v>
      </c>
      <c r="F13" s="22">
        <f>ROUND(D13/D16*100,0)-1</f>
        <v>35</v>
      </c>
      <c r="G13" s="22">
        <f>ROUND((E13*G11)/100,2)</f>
        <v>8846.7</v>
      </c>
      <c r="H13" s="23">
        <f>ROUND(G13/C13,2)</f>
        <v>110.58</v>
      </c>
      <c r="I13" s="23">
        <f>ROUND((E13*I11)/100,2)</f>
        <v>5937.59</v>
      </c>
      <c r="J13" s="23">
        <f>ROUND(I13/C13,2)</f>
        <v>74.22</v>
      </c>
      <c r="K13" s="23">
        <f>ROUND((E13*K11)/100,2)</f>
        <v>2893.85</v>
      </c>
      <c r="L13" s="23">
        <f>ROUND(K13/C13,2)</f>
        <v>36.17</v>
      </c>
      <c r="M13" s="23">
        <f>ROUND((F13*M11)/100,2)</f>
        <v>7304.5</v>
      </c>
      <c r="N13" s="23">
        <f>ROUND(M13/D13,2)</f>
        <v>91.31</v>
      </c>
    </row>
    <row r="14" spans="2:14" ht="32.25" customHeight="1">
      <c r="B14" s="79" t="s">
        <v>42</v>
      </c>
      <c r="C14" s="80">
        <v>80</v>
      </c>
      <c r="D14" s="80">
        <v>80</v>
      </c>
      <c r="E14" s="22">
        <f>ROUND(C14/C16*100,0)</f>
        <v>36</v>
      </c>
      <c r="F14" s="22">
        <f>ROUND(D14/D16*100,0)</f>
        <v>36</v>
      </c>
      <c r="G14" s="22">
        <f>ROUND((E14*G11)/100,2)</f>
        <v>8846.7</v>
      </c>
      <c r="H14" s="23">
        <f>ROUND(G14/C14,2)</f>
        <v>110.58</v>
      </c>
      <c r="I14" s="23">
        <f>ROUND((E14*I11)/100,2)</f>
        <v>5937.59</v>
      </c>
      <c r="J14" s="23">
        <f>ROUND(I14/C14,2)</f>
        <v>74.22</v>
      </c>
      <c r="K14" s="23">
        <f>ROUND((E14*K11)/100,2)</f>
        <v>2893.85</v>
      </c>
      <c r="L14" s="23">
        <f>ROUND(K14/C14,2)</f>
        <v>36.17</v>
      </c>
      <c r="M14" s="23">
        <f>ROUND((F14*M11)/100,2)</f>
        <v>7513.2</v>
      </c>
      <c r="N14" s="23">
        <f>ROUND(M14/D14,2)</f>
        <v>93.92</v>
      </c>
    </row>
    <row r="15" spans="2:14" ht="15.75">
      <c r="B15" s="79" t="s">
        <v>33</v>
      </c>
      <c r="C15" s="80">
        <v>64</v>
      </c>
      <c r="D15" s="80">
        <v>64</v>
      </c>
      <c r="E15" s="22">
        <f>ROUND(C15/C16*100,0)</f>
        <v>28</v>
      </c>
      <c r="F15" s="22">
        <f>ROUND(D15/D16*100,0)</f>
        <v>29</v>
      </c>
      <c r="G15" s="22">
        <f>ROUND((E15*G11)/100,2)</f>
        <v>6880.77</v>
      </c>
      <c r="H15" s="23">
        <f>ROUND(G15/C15,2)</f>
        <v>107.51</v>
      </c>
      <c r="I15" s="23">
        <f>ROUND((E15*I11)/100,2)</f>
        <v>4618.13</v>
      </c>
      <c r="J15" s="23">
        <f>ROUND(I15/C15,2)</f>
        <v>72.16</v>
      </c>
      <c r="K15" s="23">
        <f>ROUND((E15*K11)/100,2)</f>
        <v>2250.77</v>
      </c>
      <c r="L15" s="23">
        <f>ROUND(K15/C15,2)</f>
        <v>35.17</v>
      </c>
      <c r="M15" s="23">
        <f>ROUND((F15*M11)/100,2)</f>
        <v>6052.3</v>
      </c>
      <c r="N15" s="23">
        <f>ROUND(M15/D15,2)</f>
        <v>94.57</v>
      </c>
    </row>
    <row r="16" spans="2:14" ht="15.75">
      <c r="B16" s="32" t="s">
        <v>23</v>
      </c>
      <c r="C16" s="18">
        <f>SUM(C12:C15)</f>
        <v>225</v>
      </c>
      <c r="D16" s="18">
        <f>SUM(D12:D15)</f>
        <v>224</v>
      </c>
      <c r="E16" s="18">
        <f>SUM(E12:E15)</f>
        <v>100</v>
      </c>
      <c r="F16" s="18">
        <f>SUM(F12:F15)</f>
        <v>100</v>
      </c>
      <c r="G16" s="33">
        <f>SUM(G12:G15)</f>
        <v>24574.170000000002</v>
      </c>
      <c r="H16" s="33" t="s">
        <v>47</v>
      </c>
      <c r="I16" s="33">
        <f>SUM(I12:I15)</f>
        <v>16493.31</v>
      </c>
      <c r="J16" s="33" t="s">
        <v>47</v>
      </c>
      <c r="K16" s="33">
        <f>SUM(K12:K15)</f>
        <v>8038.469999999999</v>
      </c>
      <c r="L16" s="33" t="s">
        <v>47</v>
      </c>
      <c r="M16" s="33">
        <f>SUM(M12:M15)</f>
        <v>20870</v>
      </c>
      <c r="N16" s="22" t="s">
        <v>47</v>
      </c>
    </row>
    <row r="17" ht="15"/>
    <row r="18" spans="2:13" s="5" customFormat="1" ht="174.75" customHeight="1">
      <c r="B18" s="47" t="s">
        <v>125</v>
      </c>
      <c r="C18" s="210" t="s">
        <v>331</v>
      </c>
      <c r="D18" s="210"/>
      <c r="E18" s="210"/>
      <c r="F18" s="210"/>
      <c r="G18" s="210"/>
      <c r="H18" s="210"/>
      <c r="I18" s="210"/>
      <c r="J18" s="210"/>
      <c r="K18" s="210"/>
      <c r="L18" s="210"/>
      <c r="M18" s="210"/>
    </row>
    <row r="19" spans="2:13" ht="15.75">
      <c r="B19" s="35" t="s">
        <v>55</v>
      </c>
      <c r="C19" s="100"/>
      <c r="D19" s="100"/>
      <c r="E19" s="100"/>
      <c r="F19" s="100"/>
      <c r="G19" s="100"/>
      <c r="H19" s="100"/>
      <c r="I19" s="100"/>
      <c r="J19" s="100"/>
      <c r="K19" s="100"/>
      <c r="L19" s="100"/>
      <c r="M19" s="100"/>
    </row>
    <row r="20" spans="2:13" ht="74.25" customHeight="1">
      <c r="B20" s="36" t="s">
        <v>4</v>
      </c>
      <c r="C20" s="210" t="s">
        <v>158</v>
      </c>
      <c r="D20" s="210"/>
      <c r="E20" s="210"/>
      <c r="F20" s="210"/>
      <c r="G20" s="210"/>
      <c r="H20" s="210"/>
      <c r="I20" s="210"/>
      <c r="J20" s="210"/>
      <c r="K20" s="210"/>
      <c r="L20" s="210"/>
      <c r="M20" s="210"/>
    </row>
    <row r="21" spans="2:13" ht="66.75" customHeight="1">
      <c r="B21" s="60" t="s">
        <v>3</v>
      </c>
      <c r="C21" s="210" t="s">
        <v>159</v>
      </c>
      <c r="D21" s="210"/>
      <c r="E21" s="210"/>
      <c r="F21" s="210"/>
      <c r="G21" s="210"/>
      <c r="H21" s="210"/>
      <c r="I21" s="210"/>
      <c r="J21" s="210"/>
      <c r="K21" s="210"/>
      <c r="L21" s="210"/>
      <c r="M21" s="210"/>
    </row>
    <row r="22" spans="2:13" ht="62.25" customHeight="1">
      <c r="B22" s="36" t="s">
        <v>53</v>
      </c>
      <c r="C22" s="210" t="s">
        <v>160</v>
      </c>
      <c r="D22" s="210"/>
      <c r="E22" s="210"/>
      <c r="F22" s="210"/>
      <c r="G22" s="210"/>
      <c r="H22" s="210"/>
      <c r="I22" s="210"/>
      <c r="J22" s="210"/>
      <c r="K22" s="210"/>
      <c r="L22" s="210"/>
      <c r="M22" s="210"/>
    </row>
    <row r="23" spans="2:6" ht="14.25" hidden="1">
      <c r="B23" s="37"/>
      <c r="E23">
        <v>3</v>
      </c>
      <c r="F23" s="5">
        <v>9</v>
      </c>
    </row>
    <row r="24" spans="2:6" ht="14.25" hidden="1">
      <c r="B24" s="37"/>
      <c r="E24" t="s">
        <v>311</v>
      </c>
      <c r="F24" s="5" t="s">
        <v>310</v>
      </c>
    </row>
    <row r="25" spans="2:6" ht="14.25" hidden="1">
      <c r="B25" s="34"/>
      <c r="C25" t="s">
        <v>307</v>
      </c>
      <c r="D25" s="5">
        <v>1</v>
      </c>
      <c r="F25" s="62">
        <f>1899.59*F23*D25</f>
        <v>17096.309999999998</v>
      </c>
    </row>
    <row r="26" spans="2:6" ht="14.25" hidden="1">
      <c r="B26" s="34"/>
      <c r="C26" t="s">
        <v>308</v>
      </c>
      <c r="D26" s="5">
        <v>0.7</v>
      </c>
      <c r="F26" s="62">
        <f>1595.55*F23*D26</f>
        <v>10051.964999999998</v>
      </c>
    </row>
    <row r="27" spans="1:6" ht="57" hidden="1">
      <c r="A27" s="144" t="s">
        <v>268</v>
      </c>
      <c r="B27" s="34" t="s">
        <v>267</v>
      </c>
      <c r="C27">
        <v>1899.58</v>
      </c>
      <c r="D27" s="5">
        <v>1595.55</v>
      </c>
      <c r="F27" s="62"/>
    </row>
    <row r="28" spans="1:6" ht="14.25" hidden="1">
      <c r="A28">
        <v>1</v>
      </c>
      <c r="B28" s="34">
        <v>21</v>
      </c>
      <c r="C28" s="28">
        <f>$C$27/B28</f>
        <v>90.45619047619047</v>
      </c>
      <c r="D28" s="28">
        <f>$D$27/B28</f>
        <v>75.97857142857143</v>
      </c>
      <c r="F28" s="62"/>
    </row>
    <row r="29" spans="1:6" ht="14.25" hidden="1">
      <c r="A29">
        <v>2</v>
      </c>
      <c r="B29" s="34">
        <v>21</v>
      </c>
      <c r="C29" s="28">
        <f aca="true" t="shared" si="0" ref="C29:C39">$C$27/B29</f>
        <v>90.45619047619047</v>
      </c>
      <c r="D29" s="28">
        <f aca="true" t="shared" si="1" ref="D29:D39">$D$27/B29</f>
        <v>75.97857142857143</v>
      </c>
      <c r="F29" s="62"/>
    </row>
    <row r="30" spans="1:6" ht="14.25" hidden="1">
      <c r="A30">
        <v>3</v>
      </c>
      <c r="B30" s="139">
        <v>21</v>
      </c>
      <c r="C30" s="28">
        <f t="shared" si="0"/>
        <v>90.45619047619047</v>
      </c>
      <c r="D30" s="28">
        <f t="shared" si="1"/>
        <v>75.97857142857143</v>
      </c>
      <c r="F30" s="62"/>
    </row>
    <row r="31" spans="1:6" ht="14.25" hidden="1">
      <c r="A31">
        <v>4</v>
      </c>
      <c r="B31" s="34">
        <v>22</v>
      </c>
      <c r="C31" s="28">
        <f t="shared" si="0"/>
        <v>86.34454545454545</v>
      </c>
      <c r="D31" s="28">
        <f t="shared" si="1"/>
        <v>72.52499999999999</v>
      </c>
      <c r="F31" s="62"/>
    </row>
    <row r="32" spans="1:6" ht="14.25" hidden="1">
      <c r="A32">
        <v>5</v>
      </c>
      <c r="B32" s="34">
        <v>20</v>
      </c>
      <c r="C32" s="28">
        <f t="shared" si="0"/>
        <v>94.979</v>
      </c>
      <c r="D32" s="28">
        <f t="shared" si="1"/>
        <v>79.7775</v>
      </c>
      <c r="F32" s="62"/>
    </row>
    <row r="33" spans="1:6" ht="14.25" hidden="1">
      <c r="A33">
        <v>6</v>
      </c>
      <c r="B33" s="34">
        <v>23</v>
      </c>
      <c r="C33" s="28">
        <f t="shared" si="0"/>
        <v>82.5904347826087</v>
      </c>
      <c r="D33" s="28">
        <f t="shared" si="1"/>
        <v>69.37173913043478</v>
      </c>
      <c r="F33" s="62"/>
    </row>
    <row r="34" spans="1:6" ht="14.25" hidden="1">
      <c r="A34">
        <v>7</v>
      </c>
      <c r="B34" s="34">
        <v>18</v>
      </c>
      <c r="C34" s="28">
        <f t="shared" si="0"/>
        <v>105.53222222222222</v>
      </c>
      <c r="D34" s="28">
        <f t="shared" si="1"/>
        <v>88.64166666666667</v>
      </c>
      <c r="F34" s="62"/>
    </row>
    <row r="35" spans="1:6" ht="14.25" hidden="1">
      <c r="A35">
        <v>8</v>
      </c>
      <c r="B35" s="34">
        <v>21</v>
      </c>
      <c r="C35" s="28">
        <f t="shared" si="0"/>
        <v>90.45619047619047</v>
      </c>
      <c r="D35" s="28">
        <f t="shared" si="1"/>
        <v>75.97857142857143</v>
      </c>
      <c r="F35" s="62"/>
    </row>
    <row r="36" spans="1:6" ht="14.25" hidden="1">
      <c r="A36">
        <v>9</v>
      </c>
      <c r="B36" s="34">
        <v>21</v>
      </c>
      <c r="C36" s="28">
        <f t="shared" si="0"/>
        <v>90.45619047619047</v>
      </c>
      <c r="D36" s="28">
        <f t="shared" si="1"/>
        <v>75.97857142857143</v>
      </c>
      <c r="F36" s="62"/>
    </row>
    <row r="37" spans="1:6" ht="14.25" hidden="1">
      <c r="A37">
        <v>10</v>
      </c>
      <c r="B37" s="34">
        <v>20</v>
      </c>
      <c r="C37" s="28">
        <f t="shared" si="0"/>
        <v>94.979</v>
      </c>
      <c r="D37" s="28">
        <f t="shared" si="1"/>
        <v>79.7775</v>
      </c>
      <c r="F37" s="62"/>
    </row>
    <row r="38" spans="1:6" ht="14.25" hidden="1">
      <c r="A38">
        <v>11</v>
      </c>
      <c r="B38" s="34">
        <v>23</v>
      </c>
      <c r="C38" s="28">
        <f t="shared" si="0"/>
        <v>82.5904347826087</v>
      </c>
      <c r="D38" s="28">
        <f t="shared" si="1"/>
        <v>69.37173913043478</v>
      </c>
      <c r="F38" s="62"/>
    </row>
    <row r="39" spans="1:6" ht="14.25" hidden="1">
      <c r="A39">
        <v>12</v>
      </c>
      <c r="B39" s="34">
        <v>21</v>
      </c>
      <c r="C39" s="28">
        <f t="shared" si="0"/>
        <v>90.45619047619047</v>
      </c>
      <c r="D39" s="28">
        <f t="shared" si="1"/>
        <v>75.97857142857143</v>
      </c>
      <c r="F39" s="62"/>
    </row>
    <row r="40" ht="14.25" hidden="1">
      <c r="F40" s="62"/>
    </row>
    <row r="41" spans="2:6" ht="14.25" hidden="1">
      <c r="B41">
        <f>SUM(B28:B39)</f>
        <v>252</v>
      </c>
      <c r="C41" s="28">
        <f>SUM(B29:B39)+11</f>
        <v>242</v>
      </c>
      <c r="D41" s="28">
        <f>SUM(B29:B39)+11</f>
        <v>242</v>
      </c>
      <c r="F41" s="62"/>
    </row>
    <row r="42" spans="1:6" ht="14.25" hidden="1">
      <c r="A42" t="s">
        <v>265</v>
      </c>
      <c r="B42" s="142">
        <v>20</v>
      </c>
      <c r="C42" s="143">
        <f>B42*C41/B41</f>
        <v>19.206349206349206</v>
      </c>
      <c r="D42" s="143">
        <f>B42*D41/B41</f>
        <v>19.206349206349206</v>
      </c>
      <c r="F42" s="62"/>
    </row>
    <row r="43" ht="14.25" hidden="1">
      <c r="F43" s="62"/>
    </row>
    <row r="44" spans="2:6" ht="14.25" hidden="1">
      <c r="B44" t="s">
        <v>266</v>
      </c>
      <c r="C44" s="28">
        <f>AVERAGE(C34:C39)</f>
        <v>92.41170473890038</v>
      </c>
      <c r="D44" s="28">
        <f>AVERAGE(D34:D39)</f>
        <v>77.62110334713596</v>
      </c>
      <c r="F44" s="62"/>
    </row>
    <row r="45" ht="14.25" hidden="1">
      <c r="F45" s="62"/>
    </row>
    <row r="46" spans="3:6" ht="14.25" hidden="1">
      <c r="C46" s="28">
        <f>C42*C44</f>
        <v>1774.8914719693564</v>
      </c>
      <c r="D46" s="28">
        <f>D42*D44</f>
        <v>1490.8180166672144</v>
      </c>
      <c r="F46" s="62"/>
    </row>
    <row r="47" ht="14.25" hidden="1">
      <c r="F47" s="62"/>
    </row>
    <row r="48" spans="3:6" ht="14.25" hidden="1">
      <c r="C48" t="s">
        <v>308</v>
      </c>
      <c r="D48" s="5">
        <v>0.6</v>
      </c>
      <c r="F48" s="62">
        <f>1595.55*F23*D48</f>
        <v>8615.97</v>
      </c>
    </row>
    <row r="49" spans="3:6" ht="14.25" hidden="1">
      <c r="C49" t="s">
        <v>309</v>
      </c>
      <c r="D49" s="5">
        <v>0.7</v>
      </c>
      <c r="F49" s="62">
        <f>1899.58*F23*D49</f>
        <v>11967.354</v>
      </c>
    </row>
    <row r="50" ht="14.25" hidden="1">
      <c r="D50" s="5">
        <f>SUM(D49,D26,D25,D48)</f>
        <v>3</v>
      </c>
    </row>
    <row r="51" ht="15"/>
    <row r="52" ht="15.75">
      <c r="B52" s="35" t="s">
        <v>318</v>
      </c>
    </row>
    <row r="53" ht="15"/>
    <row r="54" spans="2:13" ht="48" customHeight="1">
      <c r="B54" s="210" t="s">
        <v>319</v>
      </c>
      <c r="C54" s="210"/>
      <c r="D54" s="210"/>
      <c r="E54" s="210"/>
      <c r="F54" s="210"/>
      <c r="G54" s="210"/>
      <c r="H54" s="210"/>
      <c r="I54" s="210"/>
      <c r="J54" s="210"/>
      <c r="K54" s="210"/>
      <c r="L54" s="210"/>
      <c r="M54" s="210"/>
    </row>
    <row r="55" spans="2:13" ht="47.25" customHeight="1">
      <c r="B55" s="210" t="s">
        <v>366</v>
      </c>
      <c r="C55" s="210"/>
      <c r="D55" s="210"/>
      <c r="E55" s="210"/>
      <c r="F55" s="210"/>
      <c r="G55" s="210"/>
      <c r="H55" s="210"/>
      <c r="I55" s="210"/>
      <c r="J55" s="210"/>
      <c r="K55" s="210"/>
      <c r="L55" s="210"/>
      <c r="M55" s="210"/>
    </row>
    <row r="65" ht="15"/>
    <row r="66" ht="15"/>
    <row r="67" ht="15"/>
  </sheetData>
  <sheetProtection/>
  <mergeCells count="16">
    <mergeCell ref="B55:M55"/>
    <mergeCell ref="B54:M54"/>
    <mergeCell ref="C22:M22"/>
    <mergeCell ref="C18:M18"/>
    <mergeCell ref="G8:H8"/>
    <mergeCell ref="I8:J8"/>
    <mergeCell ref="M8:N8"/>
    <mergeCell ref="E7:F8"/>
    <mergeCell ref="K8:L8"/>
    <mergeCell ref="B5:M5"/>
    <mergeCell ref="G7:N7"/>
    <mergeCell ref="B7:B9"/>
    <mergeCell ref="C20:M20"/>
    <mergeCell ref="C21:M21"/>
    <mergeCell ref="M3:N3"/>
    <mergeCell ref="C7:D8"/>
  </mergeCells>
  <printOptions/>
  <pageMargins left="0.7" right="0.7" top="0.75" bottom="0.75" header="0.3" footer="0.3"/>
  <pageSetup fitToHeight="0" fitToWidth="1" horizontalDpi="600" verticalDpi="600" orientation="portrait" paperSize="9" scale="60"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S31"/>
  <sheetViews>
    <sheetView showGridLines="0" tabSelected="1" zoomScale="80" zoomScaleNormal="80" zoomScalePageLayoutView="0" workbookViewId="0" topLeftCell="A8">
      <pane xSplit="1" ySplit="2" topLeftCell="B10" activePane="bottomRight" state="frozen"/>
      <selection pane="topLeft" activeCell="A8" sqref="A8"/>
      <selection pane="topRight" activeCell="B8" sqref="B8"/>
      <selection pane="bottomLeft" activeCell="A10" sqref="A10"/>
      <selection pane="bottomRight" activeCell="N23" sqref="N23"/>
    </sheetView>
  </sheetViews>
  <sheetFormatPr defaultColWidth="9.140625" defaultRowHeight="15"/>
  <cols>
    <col min="1" max="1" width="8.8515625" style="7" customWidth="1"/>
    <col min="2" max="2" width="15.8515625" style="7" customWidth="1"/>
    <col min="3" max="3" width="11.57421875" style="7" customWidth="1"/>
    <col min="4" max="4" width="11.421875" style="7" customWidth="1"/>
    <col min="5" max="5" width="13.57421875" style="7" customWidth="1"/>
    <col min="6" max="7" width="10.57421875" style="7" customWidth="1"/>
    <col min="8" max="8" width="13.57421875" style="7" customWidth="1"/>
    <col min="9" max="9" width="13.28125" style="7" customWidth="1"/>
    <col min="10" max="10" width="11.7109375" style="7" customWidth="1"/>
    <col min="11" max="11" width="10.8515625" style="7" customWidth="1"/>
    <col min="12" max="13" width="11.00390625" style="7" customWidth="1"/>
    <col min="14" max="14" width="35.8515625" style="7" customWidth="1"/>
    <col min="15" max="15" width="44.7109375" style="7" customWidth="1"/>
    <col min="16" max="16" width="47.140625" style="7" customWidth="1"/>
    <col min="17" max="18" width="8.8515625" style="7" customWidth="1"/>
    <col min="19" max="19" width="0" style="7" hidden="1" customWidth="1"/>
    <col min="20" max="16384" width="8.8515625" style="7" customWidth="1"/>
  </cols>
  <sheetData>
    <row r="2" ht="15">
      <c r="P2" s="104" t="s">
        <v>26</v>
      </c>
    </row>
    <row r="4" ht="14.25" hidden="1"/>
    <row r="5" spans="15:16" ht="15" hidden="1">
      <c r="O5" s="151"/>
      <c r="P5" s="104" t="s">
        <v>201</v>
      </c>
    </row>
    <row r="6" spans="2:16" ht="15" hidden="1">
      <c r="B6" s="237" t="s">
        <v>246</v>
      </c>
      <c r="C6" s="237"/>
      <c r="D6" s="237"/>
      <c r="E6" s="237"/>
      <c r="F6" s="237"/>
      <c r="G6" s="237"/>
      <c r="H6" s="237"/>
      <c r="I6" s="237"/>
      <c r="J6" s="237"/>
      <c r="K6" s="237"/>
      <c r="L6" s="237"/>
      <c r="M6" s="237"/>
      <c r="N6" s="237"/>
      <c r="O6" s="237"/>
      <c r="P6" s="237"/>
    </row>
    <row r="7" spans="2:16" ht="15" hidden="1">
      <c r="B7" s="65"/>
      <c r="C7" s="65"/>
      <c r="D7" s="65"/>
      <c r="E7" s="65"/>
      <c r="F7" s="65"/>
      <c r="G7" s="65"/>
      <c r="H7" s="65"/>
      <c r="I7" s="65"/>
      <c r="J7" s="65"/>
      <c r="K7" s="65"/>
      <c r="L7" s="65"/>
      <c r="M7" s="65"/>
      <c r="N7" s="65"/>
      <c r="O7" s="65"/>
      <c r="P7" s="65"/>
    </row>
    <row r="8" spans="2:16" ht="33" customHeight="1">
      <c r="B8" s="227" t="s">
        <v>6</v>
      </c>
      <c r="C8" s="227" t="s">
        <v>10</v>
      </c>
      <c r="D8" s="227" t="s">
        <v>12</v>
      </c>
      <c r="E8" s="227" t="s">
        <v>11</v>
      </c>
      <c r="F8" s="225" t="s">
        <v>35</v>
      </c>
      <c r="G8" s="226"/>
      <c r="H8" s="225" t="s">
        <v>43</v>
      </c>
      <c r="I8" s="226"/>
      <c r="J8" s="225" t="s">
        <v>44</v>
      </c>
      <c r="K8" s="226"/>
      <c r="L8" s="225" t="s">
        <v>33</v>
      </c>
      <c r="M8" s="226"/>
      <c r="N8" s="227" t="s">
        <v>22</v>
      </c>
      <c r="O8" s="227" t="s">
        <v>5</v>
      </c>
      <c r="P8" s="240" t="s">
        <v>16</v>
      </c>
    </row>
    <row r="9" spans="2:16" ht="48.75" customHeight="1">
      <c r="B9" s="228"/>
      <c r="C9" s="228"/>
      <c r="D9" s="228"/>
      <c r="E9" s="228"/>
      <c r="F9" s="105" t="s">
        <v>36</v>
      </c>
      <c r="G9" s="105" t="s">
        <v>37</v>
      </c>
      <c r="H9" s="105" t="s">
        <v>36</v>
      </c>
      <c r="I9" s="105" t="s">
        <v>37</v>
      </c>
      <c r="J9" s="105" t="s">
        <v>36</v>
      </c>
      <c r="K9" s="105" t="s">
        <v>37</v>
      </c>
      <c r="L9" s="105" t="s">
        <v>36</v>
      </c>
      <c r="M9" s="105" t="s">
        <v>37</v>
      </c>
      <c r="N9" s="228"/>
      <c r="O9" s="228"/>
      <c r="P9" s="241"/>
    </row>
    <row r="10" spans="2:19" ht="143.25" customHeight="1">
      <c r="B10" s="108" t="s">
        <v>7</v>
      </c>
      <c r="C10" s="130">
        <f>ROUND(9573.76/D10,2)</f>
        <v>42.55</v>
      </c>
      <c r="D10" s="129">
        <f>F10+H10+J10+L10</f>
        <v>225</v>
      </c>
      <c r="E10" s="130">
        <f>C10*D10</f>
        <v>9573.75</v>
      </c>
      <c r="F10" s="108">
        <v>1</v>
      </c>
      <c r="G10" s="130">
        <f>C10*F10</f>
        <v>42.55</v>
      </c>
      <c r="H10" s="108">
        <v>80</v>
      </c>
      <c r="I10" s="130">
        <f>H10*C10</f>
        <v>3404</v>
      </c>
      <c r="J10" s="129">
        <v>80</v>
      </c>
      <c r="K10" s="130">
        <f>J10*C10</f>
        <v>3404</v>
      </c>
      <c r="L10" s="129">
        <f>'8.1. pielikums'!L17</f>
        <v>64</v>
      </c>
      <c r="M10" s="130">
        <f aca="true" t="shared" si="0" ref="M10:M16">L10*C10</f>
        <v>2723.2</v>
      </c>
      <c r="N10" s="137" t="s">
        <v>355</v>
      </c>
      <c r="O10" s="137" t="s">
        <v>102</v>
      </c>
      <c r="P10" s="137" t="s">
        <v>32</v>
      </c>
      <c r="S10" s="145">
        <f>1291/2</f>
        <v>645.5</v>
      </c>
    </row>
    <row r="11" spans="2:19" ht="143.25" customHeight="1">
      <c r="B11" s="79" t="s">
        <v>281</v>
      </c>
      <c r="C11" s="130">
        <v>72</v>
      </c>
      <c r="D11" s="129">
        <f>F11</f>
        <v>1</v>
      </c>
      <c r="E11" s="130">
        <f>D11*C11</f>
        <v>72</v>
      </c>
      <c r="F11" s="108">
        <v>1</v>
      </c>
      <c r="G11" s="130"/>
      <c r="H11" s="108">
        <v>0</v>
      </c>
      <c r="I11" s="130">
        <v>0</v>
      </c>
      <c r="J11" s="129">
        <v>0</v>
      </c>
      <c r="K11" s="130">
        <v>0</v>
      </c>
      <c r="L11" s="129">
        <v>0</v>
      </c>
      <c r="M11" s="130">
        <v>0</v>
      </c>
      <c r="N11" s="137" t="s">
        <v>356</v>
      </c>
      <c r="O11" s="137" t="s">
        <v>282</v>
      </c>
      <c r="P11" s="137"/>
      <c r="S11" s="145"/>
    </row>
    <row r="12" spans="2:19" ht="227.25" customHeight="1">
      <c r="B12" s="43" t="s">
        <v>8</v>
      </c>
      <c r="C12" s="130">
        <f>ROUND(189.6/D12,2)</f>
        <v>1.18</v>
      </c>
      <c r="D12" s="129">
        <f>F12+H12+J12</f>
        <v>161</v>
      </c>
      <c r="E12" s="108">
        <f>C12*D12</f>
        <v>189.98</v>
      </c>
      <c r="F12" s="108">
        <v>1</v>
      </c>
      <c r="G12" s="130">
        <f aca="true" t="shared" si="1" ref="G12:G28">C12*F12</f>
        <v>1.18</v>
      </c>
      <c r="H12" s="108">
        <v>80</v>
      </c>
      <c r="I12" s="130">
        <f aca="true" t="shared" si="2" ref="I12:I28">H12*C12</f>
        <v>94.39999999999999</v>
      </c>
      <c r="J12" s="129">
        <v>80</v>
      </c>
      <c r="K12" s="130">
        <f aca="true" t="shared" si="3" ref="K12:K28">J12*C12</f>
        <v>94.39999999999999</v>
      </c>
      <c r="L12" s="108">
        <v>0</v>
      </c>
      <c r="M12" s="130">
        <f t="shared" si="0"/>
        <v>0</v>
      </c>
      <c r="N12" s="137" t="s">
        <v>357</v>
      </c>
      <c r="O12" s="137" t="s">
        <v>46</v>
      </c>
      <c r="P12" s="54" t="s">
        <v>9</v>
      </c>
      <c r="S12" s="145">
        <f>S10*10.5%</f>
        <v>67.7775</v>
      </c>
    </row>
    <row r="13" spans="2:19" ht="141.75" customHeight="1">
      <c r="B13" s="3" t="s">
        <v>13</v>
      </c>
      <c r="C13" s="130">
        <f>ROUND(360/D13,2)</f>
        <v>1.6</v>
      </c>
      <c r="D13" s="129">
        <f>F13+H13+J13+L13</f>
        <v>225</v>
      </c>
      <c r="E13" s="130">
        <f aca="true" t="shared" si="4" ref="E13:E27">C13*D13</f>
        <v>360</v>
      </c>
      <c r="F13" s="108">
        <v>1</v>
      </c>
      <c r="G13" s="130">
        <f t="shared" si="1"/>
        <v>1.6</v>
      </c>
      <c r="H13" s="108">
        <v>80</v>
      </c>
      <c r="I13" s="130">
        <f t="shared" si="2"/>
        <v>128</v>
      </c>
      <c r="J13" s="129">
        <v>80</v>
      </c>
      <c r="K13" s="130">
        <f t="shared" si="3"/>
        <v>128</v>
      </c>
      <c r="L13" s="129">
        <f>'8.1. pielikums'!L17</f>
        <v>64</v>
      </c>
      <c r="M13" s="130">
        <f t="shared" si="0"/>
        <v>102.4</v>
      </c>
      <c r="N13" s="54" t="s">
        <v>333</v>
      </c>
      <c r="O13" s="54" t="s">
        <v>335</v>
      </c>
      <c r="P13" s="54" t="s">
        <v>336</v>
      </c>
      <c r="S13" s="145">
        <f>S10-S12</f>
        <v>577.7225</v>
      </c>
    </row>
    <row r="14" spans="2:19" ht="108.75">
      <c r="B14" s="107" t="s">
        <v>24</v>
      </c>
      <c r="C14" s="108">
        <f>ROUND('8.4.pielikums'!C11/'8.3.pielikums'!D14,2)</f>
        <v>129.35</v>
      </c>
      <c r="D14" s="129">
        <f>F14+H14+J14+L14</f>
        <v>225</v>
      </c>
      <c r="E14" s="166">
        <f t="shared" si="4"/>
        <v>29103.75</v>
      </c>
      <c r="F14" s="108">
        <v>1</v>
      </c>
      <c r="G14" s="130">
        <f t="shared" si="1"/>
        <v>129.35</v>
      </c>
      <c r="H14" s="108">
        <v>80</v>
      </c>
      <c r="I14" s="130">
        <f t="shared" si="2"/>
        <v>10348</v>
      </c>
      <c r="J14" s="129">
        <v>80</v>
      </c>
      <c r="K14" s="130">
        <f t="shared" si="3"/>
        <v>10348</v>
      </c>
      <c r="L14" s="129">
        <f>'8.1. pielikums'!L17</f>
        <v>64</v>
      </c>
      <c r="M14" s="130">
        <f t="shared" si="0"/>
        <v>8278.4</v>
      </c>
      <c r="N14" s="137" t="s">
        <v>358</v>
      </c>
      <c r="O14" s="137" t="s">
        <v>209</v>
      </c>
      <c r="P14" s="137" t="s">
        <v>337</v>
      </c>
      <c r="S14" s="145">
        <f>S13*23%</f>
        <v>132.876175</v>
      </c>
    </row>
    <row r="15" spans="2:19" ht="333.75" customHeight="1">
      <c r="B15" s="3" t="s">
        <v>301</v>
      </c>
      <c r="C15" s="106">
        <f>ROUND(1229.4/D15,2)</f>
        <v>32.35</v>
      </c>
      <c r="D15" s="108">
        <f>H15+J15+L15</f>
        <v>38</v>
      </c>
      <c r="E15" s="130">
        <f t="shared" si="4"/>
        <v>1229.3</v>
      </c>
      <c r="F15" s="108">
        <v>0</v>
      </c>
      <c r="G15" s="130">
        <f t="shared" si="1"/>
        <v>0</v>
      </c>
      <c r="H15" s="108">
        <v>20</v>
      </c>
      <c r="I15" s="130">
        <f t="shared" si="2"/>
        <v>647</v>
      </c>
      <c r="J15" s="108">
        <v>0</v>
      </c>
      <c r="K15" s="130">
        <f t="shared" si="3"/>
        <v>0</v>
      </c>
      <c r="L15" s="108">
        <v>18</v>
      </c>
      <c r="M15" s="130">
        <f t="shared" si="0"/>
        <v>582.3000000000001</v>
      </c>
      <c r="N15" s="54" t="s">
        <v>338</v>
      </c>
      <c r="O15" s="54" t="s">
        <v>339</v>
      </c>
      <c r="P15" s="229" t="s">
        <v>340</v>
      </c>
      <c r="S15" s="145">
        <f>S10-S12-S14</f>
        <v>444.846325</v>
      </c>
    </row>
    <row r="16" spans="2:19" ht="69.75" customHeight="1">
      <c r="B16" s="43" t="s">
        <v>27</v>
      </c>
      <c r="C16" s="106">
        <f>ROUND(6454.56/D16,2)</f>
        <v>28.69</v>
      </c>
      <c r="D16" s="147">
        <f>F16+H16+J16+L16</f>
        <v>225</v>
      </c>
      <c r="E16" s="109">
        <f>C16*D16</f>
        <v>6455.25</v>
      </c>
      <c r="F16" s="108">
        <v>1</v>
      </c>
      <c r="G16" s="130">
        <f t="shared" si="1"/>
        <v>28.69</v>
      </c>
      <c r="H16" s="108">
        <v>80</v>
      </c>
      <c r="I16" s="130">
        <f t="shared" si="2"/>
        <v>2295.2000000000003</v>
      </c>
      <c r="J16" s="129">
        <v>80</v>
      </c>
      <c r="K16" s="130">
        <f t="shared" si="3"/>
        <v>2295.2000000000003</v>
      </c>
      <c r="L16" s="129">
        <f>'8.1. pielikums'!L17</f>
        <v>64</v>
      </c>
      <c r="M16" s="130">
        <f t="shared" si="0"/>
        <v>1836.16</v>
      </c>
      <c r="N16" s="54" t="s">
        <v>341</v>
      </c>
      <c r="O16" s="54"/>
      <c r="P16" s="230"/>
      <c r="S16" s="145">
        <f>S15/2</f>
        <v>222.4231625</v>
      </c>
    </row>
    <row r="17" spans="2:19" ht="98.25" customHeight="1">
      <c r="B17" s="169" t="s">
        <v>312</v>
      </c>
      <c r="C17" s="108">
        <v>192.6</v>
      </c>
      <c r="D17" s="129">
        <f>L17</f>
        <v>6</v>
      </c>
      <c r="E17" s="166">
        <f>C17*D17</f>
        <v>1155.6</v>
      </c>
      <c r="F17" s="108"/>
      <c r="G17" s="130"/>
      <c r="H17" s="108"/>
      <c r="I17" s="130"/>
      <c r="J17" s="129"/>
      <c r="K17" s="130"/>
      <c r="L17" s="170">
        <v>6</v>
      </c>
      <c r="M17" s="146">
        <f>L17*C17</f>
        <v>1155.6</v>
      </c>
      <c r="N17" s="167" t="s">
        <v>302</v>
      </c>
      <c r="O17" s="167"/>
      <c r="P17" s="168" t="s">
        <v>342</v>
      </c>
      <c r="S17" s="145"/>
    </row>
    <row r="18" spans="2:16" ht="87" customHeight="1">
      <c r="B18" s="238" t="s">
        <v>45</v>
      </c>
      <c r="C18" s="106">
        <f>96</f>
        <v>96</v>
      </c>
      <c r="D18" s="106">
        <v>60</v>
      </c>
      <c r="E18" s="109">
        <f t="shared" si="4"/>
        <v>5760</v>
      </c>
      <c r="F18" s="108">
        <v>0</v>
      </c>
      <c r="G18" s="130">
        <f t="shared" si="1"/>
        <v>0</v>
      </c>
      <c r="H18" s="108">
        <v>60</v>
      </c>
      <c r="I18" s="130">
        <f t="shared" si="2"/>
        <v>5760</v>
      </c>
      <c r="J18" s="108">
        <v>0</v>
      </c>
      <c r="K18" s="130">
        <f t="shared" si="3"/>
        <v>0</v>
      </c>
      <c r="L18" s="231">
        <v>40</v>
      </c>
      <c r="M18" s="233">
        <f>L18*C19</f>
        <v>7680</v>
      </c>
      <c r="N18" s="229" t="s">
        <v>343</v>
      </c>
      <c r="O18" s="229" t="s">
        <v>313</v>
      </c>
      <c r="P18" s="229" t="s">
        <v>344</v>
      </c>
    </row>
    <row r="19" spans="2:16" ht="216" customHeight="1">
      <c r="B19" s="239"/>
      <c r="C19" s="106">
        <f>192</f>
        <v>192</v>
      </c>
      <c r="D19" s="106">
        <f>L18</f>
        <v>40</v>
      </c>
      <c r="E19" s="109">
        <f t="shared" si="4"/>
        <v>7680</v>
      </c>
      <c r="F19" s="108">
        <v>0</v>
      </c>
      <c r="G19" s="130">
        <f t="shared" si="1"/>
        <v>0</v>
      </c>
      <c r="H19" s="108">
        <v>0</v>
      </c>
      <c r="I19" s="130">
        <f t="shared" si="2"/>
        <v>0</v>
      </c>
      <c r="J19" s="108">
        <v>0</v>
      </c>
      <c r="K19" s="130">
        <f t="shared" si="3"/>
        <v>0</v>
      </c>
      <c r="L19" s="232"/>
      <c r="M19" s="234"/>
      <c r="N19" s="230"/>
      <c r="O19" s="230"/>
      <c r="P19" s="230"/>
    </row>
    <row r="20" spans="2:16" ht="216" customHeight="1">
      <c r="B20" s="173" t="s">
        <v>283</v>
      </c>
      <c r="C20" s="174">
        <f>'8.5.pielikums'!F53</f>
        <v>129.46666666666667</v>
      </c>
      <c r="D20" s="108">
        <f>L20</f>
        <v>22</v>
      </c>
      <c r="E20" s="166">
        <f>C20*D20</f>
        <v>2848.266666666667</v>
      </c>
      <c r="F20" s="108"/>
      <c r="G20" s="130"/>
      <c r="H20" s="108"/>
      <c r="I20" s="130"/>
      <c r="J20" s="171"/>
      <c r="K20" s="146"/>
      <c r="L20" s="175">
        <v>22</v>
      </c>
      <c r="M20" s="149">
        <f>L20*C20</f>
        <v>2848.266666666667</v>
      </c>
      <c r="N20" s="172" t="s">
        <v>322</v>
      </c>
      <c r="O20" s="172" t="s">
        <v>321</v>
      </c>
      <c r="P20" s="172" t="s">
        <v>298</v>
      </c>
    </row>
    <row r="21" spans="2:16" ht="124.5" customHeight="1">
      <c r="B21" s="176" t="s">
        <v>28</v>
      </c>
      <c r="C21" s="108">
        <v>58.23</v>
      </c>
      <c r="D21" s="108">
        <f>H21</f>
        <v>80</v>
      </c>
      <c r="E21" s="166">
        <f t="shared" si="4"/>
        <v>4658.4</v>
      </c>
      <c r="F21" s="108">
        <v>0</v>
      </c>
      <c r="G21" s="130">
        <f t="shared" si="1"/>
        <v>0</v>
      </c>
      <c r="H21" s="108">
        <v>80</v>
      </c>
      <c r="I21" s="130">
        <f t="shared" si="2"/>
        <v>4658.4</v>
      </c>
      <c r="J21" s="156">
        <v>0</v>
      </c>
      <c r="K21" s="153">
        <v>0</v>
      </c>
      <c r="L21" s="158">
        <v>0</v>
      </c>
      <c r="M21" s="153">
        <v>0</v>
      </c>
      <c r="N21" s="137" t="s">
        <v>345</v>
      </c>
      <c r="O21" s="137" t="s">
        <v>101</v>
      </c>
      <c r="P21" s="137" t="s">
        <v>346</v>
      </c>
    </row>
    <row r="22" spans="1:16" ht="162.75" customHeight="1">
      <c r="A22" s="76"/>
      <c r="B22" s="79" t="s">
        <v>30</v>
      </c>
      <c r="C22" s="177">
        <f>186.08*0.75</f>
        <v>139.56</v>
      </c>
      <c r="D22" s="108">
        <f>H22+L22</f>
        <v>100</v>
      </c>
      <c r="E22" s="166">
        <f t="shared" si="4"/>
        <v>13956</v>
      </c>
      <c r="F22" s="108">
        <v>0</v>
      </c>
      <c r="G22" s="130">
        <f t="shared" si="1"/>
        <v>0</v>
      </c>
      <c r="H22" s="108">
        <v>60</v>
      </c>
      <c r="I22" s="130">
        <f>H22*C22</f>
        <v>8373.6</v>
      </c>
      <c r="J22" s="108">
        <v>0</v>
      </c>
      <c r="K22" s="130">
        <f t="shared" si="3"/>
        <v>0</v>
      </c>
      <c r="L22" s="108">
        <v>40</v>
      </c>
      <c r="M22" s="130">
        <f>L22*C22</f>
        <v>5582.4</v>
      </c>
      <c r="N22" s="137" t="s">
        <v>359</v>
      </c>
      <c r="O22" s="137" t="s">
        <v>210</v>
      </c>
      <c r="P22" s="137" t="s">
        <v>323</v>
      </c>
    </row>
    <row r="23" spans="1:16" ht="162.75" customHeight="1">
      <c r="A23" s="76"/>
      <c r="B23" s="79" t="s">
        <v>155</v>
      </c>
      <c r="C23" s="130">
        <v>43.46</v>
      </c>
      <c r="D23" s="108">
        <f>H23+L23</f>
        <v>100</v>
      </c>
      <c r="E23" s="166">
        <f>C23*D23</f>
        <v>4346</v>
      </c>
      <c r="F23" s="108">
        <v>0</v>
      </c>
      <c r="G23" s="130">
        <f>C23*F23</f>
        <v>0</v>
      </c>
      <c r="H23" s="108">
        <v>60</v>
      </c>
      <c r="I23" s="130">
        <f>H23*C23</f>
        <v>2607.6</v>
      </c>
      <c r="J23" s="108">
        <v>0</v>
      </c>
      <c r="K23" s="130">
        <f>J23*C23</f>
        <v>0</v>
      </c>
      <c r="L23" s="108">
        <v>40</v>
      </c>
      <c r="M23" s="130">
        <f>L23*C23</f>
        <v>1738.4</v>
      </c>
      <c r="N23" s="137" t="s">
        <v>168</v>
      </c>
      <c r="O23" s="137" t="s">
        <v>211</v>
      </c>
      <c r="P23" s="137" t="s">
        <v>217</v>
      </c>
    </row>
    <row r="24" spans="1:16" ht="254.25" customHeight="1">
      <c r="A24" s="76"/>
      <c r="B24" s="79" t="s">
        <v>34</v>
      </c>
      <c r="C24" s="108">
        <f>ROUND(5000/D24,2)</f>
        <v>62.5</v>
      </c>
      <c r="D24" s="108">
        <f>H24</f>
        <v>80</v>
      </c>
      <c r="E24" s="166">
        <f>C24*D24</f>
        <v>5000</v>
      </c>
      <c r="F24" s="108"/>
      <c r="G24" s="130">
        <f t="shared" si="1"/>
        <v>0</v>
      </c>
      <c r="H24" s="108">
        <v>80</v>
      </c>
      <c r="I24" s="130">
        <f t="shared" si="2"/>
        <v>5000</v>
      </c>
      <c r="J24" s="108"/>
      <c r="K24" s="130">
        <f t="shared" si="3"/>
        <v>0</v>
      </c>
      <c r="L24" s="108">
        <v>0</v>
      </c>
      <c r="M24" s="130">
        <f>L24*C24</f>
        <v>0</v>
      </c>
      <c r="N24" s="137" t="s">
        <v>315</v>
      </c>
      <c r="O24" s="137" t="s">
        <v>314</v>
      </c>
      <c r="P24" s="137" t="s">
        <v>194</v>
      </c>
    </row>
    <row r="25" spans="1:16" ht="249.75" customHeight="1">
      <c r="A25" s="76"/>
      <c r="B25" s="169" t="s">
        <v>278</v>
      </c>
      <c r="C25" s="108">
        <v>16.33</v>
      </c>
      <c r="D25" s="108">
        <f>J25+L25</f>
        <v>144</v>
      </c>
      <c r="E25" s="166">
        <f>D25*C25</f>
        <v>2351.5199999999995</v>
      </c>
      <c r="F25" s="108"/>
      <c r="G25" s="130">
        <v>0</v>
      </c>
      <c r="H25" s="108">
        <v>0</v>
      </c>
      <c r="I25" s="130">
        <v>0</v>
      </c>
      <c r="J25" s="171">
        <v>80</v>
      </c>
      <c r="K25" s="146">
        <f t="shared" si="3"/>
        <v>1306.3999999999999</v>
      </c>
      <c r="L25" s="171">
        <v>64</v>
      </c>
      <c r="M25" s="146">
        <f>L25*C25</f>
        <v>1045.12</v>
      </c>
      <c r="N25" s="137"/>
      <c r="O25" s="167" t="s">
        <v>354</v>
      </c>
      <c r="P25" s="167" t="s">
        <v>306</v>
      </c>
    </row>
    <row r="26" spans="1:16" ht="67.5" customHeight="1">
      <c r="A26" s="76"/>
      <c r="B26" s="169" t="s">
        <v>38</v>
      </c>
      <c r="C26" s="108">
        <v>33</v>
      </c>
      <c r="D26" s="108">
        <f>H26</f>
        <v>80</v>
      </c>
      <c r="E26" s="166">
        <f t="shared" si="4"/>
        <v>2640</v>
      </c>
      <c r="F26" s="108">
        <v>0</v>
      </c>
      <c r="G26" s="130">
        <f t="shared" si="1"/>
        <v>0</v>
      </c>
      <c r="H26" s="108">
        <v>80</v>
      </c>
      <c r="I26" s="130">
        <f t="shared" si="2"/>
        <v>2640</v>
      </c>
      <c r="J26" s="156">
        <v>0</v>
      </c>
      <c r="K26" s="153"/>
      <c r="L26" s="231">
        <v>64</v>
      </c>
      <c r="M26" s="233">
        <f>L26*C27</f>
        <v>4864</v>
      </c>
      <c r="N26" s="137" t="s">
        <v>360</v>
      </c>
      <c r="O26" s="235" t="s">
        <v>347</v>
      </c>
      <c r="P26" s="235" t="s">
        <v>176</v>
      </c>
    </row>
    <row r="27" spans="1:16" ht="163.5" customHeight="1">
      <c r="A27" s="76"/>
      <c r="B27" s="169" t="s">
        <v>40</v>
      </c>
      <c r="C27" s="108">
        <v>76</v>
      </c>
      <c r="D27" s="108">
        <v>64</v>
      </c>
      <c r="E27" s="166">
        <f t="shared" si="4"/>
        <v>4864</v>
      </c>
      <c r="F27" s="108"/>
      <c r="G27" s="130"/>
      <c r="H27" s="108"/>
      <c r="I27" s="130"/>
      <c r="J27" s="108"/>
      <c r="K27" s="130"/>
      <c r="L27" s="232"/>
      <c r="M27" s="234"/>
      <c r="N27" s="137" t="s">
        <v>348</v>
      </c>
      <c r="O27" s="236"/>
      <c r="P27" s="236"/>
    </row>
    <row r="28" spans="1:16" ht="124.5">
      <c r="A28" s="76"/>
      <c r="B28" s="79" t="s">
        <v>31</v>
      </c>
      <c r="C28" s="130">
        <v>91.8</v>
      </c>
      <c r="D28" s="108">
        <v>64</v>
      </c>
      <c r="E28" s="166">
        <f>C28*D28</f>
        <v>5875.2</v>
      </c>
      <c r="F28" s="108"/>
      <c r="G28" s="130">
        <f t="shared" si="1"/>
        <v>0</v>
      </c>
      <c r="H28" s="108"/>
      <c r="I28" s="130">
        <f t="shared" si="2"/>
        <v>0</v>
      </c>
      <c r="J28" s="108"/>
      <c r="K28" s="130">
        <f t="shared" si="3"/>
        <v>0</v>
      </c>
      <c r="L28" s="80">
        <v>64</v>
      </c>
      <c r="M28" s="130">
        <f>L28*C28</f>
        <v>5875.2</v>
      </c>
      <c r="N28" s="137" t="s">
        <v>367</v>
      </c>
      <c r="O28" s="137" t="s">
        <v>325</v>
      </c>
      <c r="P28" s="137" t="s">
        <v>324</v>
      </c>
    </row>
    <row r="29" spans="2:16" ht="15">
      <c r="B29" s="242" t="s">
        <v>11</v>
      </c>
      <c r="C29" s="243"/>
      <c r="D29" s="244"/>
      <c r="E29" s="111">
        <f>SUM(E10:E28)</f>
        <v>108119.01666666666</v>
      </c>
      <c r="F29" s="111" t="s">
        <v>47</v>
      </c>
      <c r="G29" s="111">
        <f>SUM(G10:G28)</f>
        <v>203.37</v>
      </c>
      <c r="H29" s="111" t="s">
        <v>47</v>
      </c>
      <c r="I29" s="111">
        <f>SUM(I10:I28)</f>
        <v>45956.2</v>
      </c>
      <c r="J29" s="111" t="s">
        <v>47</v>
      </c>
      <c r="K29" s="111">
        <f>SUM(K10:K28)</f>
        <v>17576</v>
      </c>
      <c r="L29" s="111" t="s">
        <v>47</v>
      </c>
      <c r="M29" s="111">
        <f>SUM(M10:M28)</f>
        <v>44311.44666666666</v>
      </c>
      <c r="N29" s="106"/>
      <c r="O29" s="106"/>
      <c r="P29" s="106"/>
    </row>
    <row r="30" spans="2:16" ht="15">
      <c r="B30" s="112"/>
      <c r="C30" s="112"/>
      <c r="D30" s="112"/>
      <c r="E30" s="112"/>
      <c r="F30" s="112"/>
      <c r="G30" s="65"/>
      <c r="H30" s="65"/>
      <c r="I30" s="65"/>
      <c r="J30" s="65"/>
      <c r="K30" s="65"/>
      <c r="L30" s="65"/>
      <c r="M30" s="65"/>
      <c r="N30" s="65"/>
      <c r="O30" s="65"/>
      <c r="P30" s="65"/>
    </row>
    <row r="31" spans="2:16" ht="15">
      <c r="B31" s="65"/>
      <c r="C31" s="65"/>
      <c r="D31" s="65"/>
      <c r="E31" s="65"/>
      <c r="F31" s="65"/>
      <c r="G31" s="65"/>
      <c r="H31" s="65"/>
      <c r="I31" s="65"/>
      <c r="J31" s="65"/>
      <c r="K31" s="65"/>
      <c r="L31" s="65"/>
      <c r="M31" s="65"/>
      <c r="N31" s="65"/>
      <c r="O31" s="65"/>
      <c r="P31" s="65"/>
    </row>
  </sheetData>
  <sheetProtection/>
  <mergeCells count="24">
    <mergeCell ref="B29:D29"/>
    <mergeCell ref="P26:P27"/>
    <mergeCell ref="L18:L19"/>
    <mergeCell ref="M18:M19"/>
    <mergeCell ref="N18:N19"/>
    <mergeCell ref="O18:O19"/>
    <mergeCell ref="B6:P6"/>
    <mergeCell ref="B8:B9"/>
    <mergeCell ref="C8:C9"/>
    <mergeCell ref="B18:B19"/>
    <mergeCell ref="P15:P16"/>
    <mergeCell ref="F8:G8"/>
    <mergeCell ref="E8:E9"/>
    <mergeCell ref="N8:N9"/>
    <mergeCell ref="O8:O9"/>
    <mergeCell ref="P8:P9"/>
    <mergeCell ref="H8:I8"/>
    <mergeCell ref="J8:K8"/>
    <mergeCell ref="L8:M8"/>
    <mergeCell ref="D8:D9"/>
    <mergeCell ref="P18:P19"/>
    <mergeCell ref="L26:L27"/>
    <mergeCell ref="M26:M27"/>
    <mergeCell ref="O26:O2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B2:G11"/>
  <sheetViews>
    <sheetView showGridLines="0" zoomScale="74" zoomScaleNormal="74" zoomScalePageLayoutView="0" workbookViewId="0" topLeftCell="A8">
      <selection activeCell="B7" sqref="B7:C10"/>
    </sheetView>
  </sheetViews>
  <sheetFormatPr defaultColWidth="9.140625" defaultRowHeight="15"/>
  <cols>
    <col min="2" max="2" width="16.140625" style="0" customWidth="1"/>
    <col min="3" max="3" width="12.8515625" style="0" customWidth="1"/>
    <col min="4" max="4" width="11.8515625" style="0" customWidth="1"/>
    <col min="5" max="5" width="36.140625" style="0" customWidth="1"/>
    <col min="6" max="6" width="49.140625" style="5" customWidth="1"/>
    <col min="7" max="7" width="38.8515625" style="0" customWidth="1"/>
  </cols>
  <sheetData>
    <row r="2" s="5" customFormat="1" ht="15">
      <c r="G2" s="17" t="s">
        <v>200</v>
      </c>
    </row>
    <row r="3" s="5" customFormat="1" ht="14.25"/>
    <row r="4" spans="2:7" ht="15">
      <c r="B4" s="245" t="s">
        <v>24</v>
      </c>
      <c r="C4" s="245"/>
      <c r="D4" s="245"/>
      <c r="E4" s="245"/>
      <c r="F4" s="245"/>
      <c r="G4" s="245"/>
    </row>
    <row r="6" spans="2:7" ht="111.75" customHeight="1">
      <c r="B6" s="101" t="s">
        <v>6</v>
      </c>
      <c r="C6" s="101" t="s">
        <v>18</v>
      </c>
      <c r="D6" s="101" t="s">
        <v>25</v>
      </c>
      <c r="E6" s="102" t="s">
        <v>17</v>
      </c>
      <c r="F6" s="101" t="s">
        <v>5</v>
      </c>
      <c r="G6" s="101" t="s">
        <v>16</v>
      </c>
    </row>
    <row r="7" spans="2:7" ht="158.25" customHeight="1">
      <c r="B7" s="3" t="s">
        <v>14</v>
      </c>
      <c r="C7" s="15">
        <v>8747.5</v>
      </c>
      <c r="D7" s="15">
        <f>C7/6</f>
        <v>1457.9166666666667</v>
      </c>
      <c r="E7" s="54" t="s">
        <v>259</v>
      </c>
      <c r="F7" s="54">
        <f>+O19+O20</f>
        <v>0</v>
      </c>
      <c r="G7" s="54" t="s">
        <v>116</v>
      </c>
    </row>
    <row r="8" spans="2:7" ht="96" customHeight="1">
      <c r="B8" s="4" t="s">
        <v>15</v>
      </c>
      <c r="C8" s="16">
        <v>13970.64</v>
      </c>
      <c r="D8" s="16">
        <f>C8/12</f>
        <v>1164.22</v>
      </c>
      <c r="E8" s="138" t="s">
        <v>157</v>
      </c>
      <c r="F8" s="138" t="s">
        <v>156</v>
      </c>
      <c r="G8" s="138" t="s">
        <v>21</v>
      </c>
    </row>
    <row r="9" spans="2:7" ht="186" customHeight="1">
      <c r="B9" s="4" t="s">
        <v>19</v>
      </c>
      <c r="C9" s="16">
        <v>3684.5</v>
      </c>
      <c r="D9" s="16">
        <f>C9/12</f>
        <v>307.0416666666667</v>
      </c>
      <c r="E9" s="138" t="s">
        <v>115</v>
      </c>
      <c r="F9" s="54" t="s">
        <v>212</v>
      </c>
      <c r="G9" s="54" t="s">
        <v>114</v>
      </c>
    </row>
    <row r="10" spans="2:7" ht="99" customHeight="1">
      <c r="B10" s="4" t="s">
        <v>20</v>
      </c>
      <c r="C10" s="15">
        <f>5401.44/12*6</f>
        <v>2700.72</v>
      </c>
      <c r="D10" s="15">
        <f>C10/12</f>
        <v>225.05999999999997</v>
      </c>
      <c r="E10" s="138" t="s">
        <v>263</v>
      </c>
      <c r="F10" s="54" t="s">
        <v>213</v>
      </c>
      <c r="G10" s="54" t="s">
        <v>260</v>
      </c>
    </row>
    <row r="11" spans="2:7" ht="15">
      <c r="B11" s="38" t="s">
        <v>23</v>
      </c>
      <c r="C11" s="19">
        <f>SUM(C7:C10)</f>
        <v>29103.36</v>
      </c>
      <c r="D11" s="19">
        <f>SUM(D7:D10)</f>
        <v>3154.2383333333332</v>
      </c>
      <c r="E11" s="20"/>
      <c r="F11" s="20"/>
      <c r="G11" s="20"/>
    </row>
  </sheetData>
  <sheetProtection/>
  <mergeCells count="1">
    <mergeCell ref="B4:G4"/>
  </mergeCells>
  <printOptions/>
  <pageMargins left="0.7" right="0.7" top="0.75" bottom="0.75" header="0.3" footer="0.3"/>
  <pageSetup fitToHeight="1" fitToWidth="1" horizontalDpi="600" verticalDpi="600" orientation="landscape" paperSize="9" scale="68" r:id="rId1"/>
</worksheet>
</file>

<file path=xl/worksheets/sheet6.xml><?xml version="1.0" encoding="utf-8"?>
<worksheet xmlns="http://schemas.openxmlformats.org/spreadsheetml/2006/main" xmlns:r="http://schemas.openxmlformats.org/officeDocument/2006/relationships">
  <sheetPr>
    <pageSetUpPr fitToPage="1"/>
  </sheetPr>
  <dimension ref="B3:J61"/>
  <sheetViews>
    <sheetView showGridLines="0" zoomScale="75" zoomScaleNormal="75" zoomScalePageLayoutView="0" workbookViewId="0" topLeftCell="A1">
      <selection activeCell="B53" sqref="B53:G61"/>
    </sheetView>
  </sheetViews>
  <sheetFormatPr defaultColWidth="9.140625" defaultRowHeight="15"/>
  <cols>
    <col min="1" max="1" width="8.8515625" style="5" customWidth="1"/>
    <col min="2" max="2" width="18.57421875" style="5" customWidth="1"/>
    <col min="3" max="3" width="29.421875" style="5" customWidth="1"/>
    <col min="4" max="4" width="27.00390625" style="5" customWidth="1"/>
    <col min="5" max="6" width="18.00390625" style="5" customWidth="1"/>
    <col min="7" max="7" width="61.8515625" style="5" customWidth="1"/>
    <col min="8" max="8" width="9.421875" style="5" customWidth="1"/>
    <col min="9" max="9" width="13.140625" style="5" customWidth="1"/>
    <col min="10" max="10" width="9.8515625" style="5" customWidth="1"/>
    <col min="11" max="11" width="13.421875" style="5" customWidth="1"/>
    <col min="12" max="16384" width="8.8515625" style="5" customWidth="1"/>
  </cols>
  <sheetData>
    <row r="3" spans="4:7" ht="15">
      <c r="D3" s="214" t="s">
        <v>199</v>
      </c>
      <c r="E3" s="214"/>
      <c r="F3" s="214"/>
      <c r="G3" s="214"/>
    </row>
    <row r="5" spans="2:10" ht="43.5" customHeight="1">
      <c r="B5" s="285" t="s">
        <v>103</v>
      </c>
      <c r="C5" s="285"/>
      <c r="D5" s="285"/>
      <c r="E5" s="285"/>
      <c r="F5" s="285"/>
      <c r="G5" s="285"/>
      <c r="H5" s="42"/>
      <c r="I5" s="42"/>
      <c r="J5" s="42"/>
    </row>
    <row r="7" spans="2:7" ht="54" customHeight="1">
      <c r="B7" s="103" t="s">
        <v>6</v>
      </c>
      <c r="C7" s="97" t="s">
        <v>59</v>
      </c>
      <c r="D7" s="97" t="s">
        <v>60</v>
      </c>
      <c r="E7" s="97" t="s">
        <v>58</v>
      </c>
      <c r="F7" s="97" t="s">
        <v>107</v>
      </c>
      <c r="G7" s="97" t="s">
        <v>63</v>
      </c>
    </row>
    <row r="8" spans="2:7" ht="15" hidden="1">
      <c r="B8" s="2">
        <v>1</v>
      </c>
      <c r="C8" s="26">
        <v>2</v>
      </c>
      <c r="D8" s="26">
        <v>3</v>
      </c>
      <c r="E8" s="26">
        <v>4</v>
      </c>
      <c r="F8" s="26">
        <v>5</v>
      </c>
      <c r="G8" s="26">
        <v>6</v>
      </c>
    </row>
    <row r="9" spans="2:7" ht="30.75" customHeight="1">
      <c r="B9" s="290" t="s">
        <v>13</v>
      </c>
      <c r="C9" s="287" t="s">
        <v>280</v>
      </c>
      <c r="D9" s="2" t="s">
        <v>78</v>
      </c>
      <c r="E9" s="23">
        <f>24.5*2</f>
        <v>49</v>
      </c>
      <c r="F9" s="279">
        <f>14.52+8.71+6.05</f>
        <v>29.28</v>
      </c>
      <c r="G9" s="282" t="s">
        <v>334</v>
      </c>
    </row>
    <row r="10" spans="2:7" ht="15">
      <c r="B10" s="291"/>
      <c r="C10" s="288"/>
      <c r="D10" s="2" t="s">
        <v>247</v>
      </c>
      <c r="E10" s="22">
        <f>26.89*2</f>
        <v>53.78</v>
      </c>
      <c r="F10" s="280"/>
      <c r="G10" s="283"/>
    </row>
    <row r="11" spans="2:7" ht="153.75" customHeight="1">
      <c r="B11" s="292"/>
      <c r="C11" s="289"/>
      <c r="D11" s="2" t="s">
        <v>79</v>
      </c>
      <c r="E11" s="22">
        <f>24.99*2</f>
        <v>49.98</v>
      </c>
      <c r="F11" s="281"/>
      <c r="G11" s="284"/>
    </row>
    <row r="12" spans="2:8" ht="30.75">
      <c r="B12" s="255" t="s">
        <v>30</v>
      </c>
      <c r="C12" s="40" t="s">
        <v>62</v>
      </c>
      <c r="D12" s="26" t="s">
        <v>61</v>
      </c>
      <c r="E12" s="22">
        <v>140</v>
      </c>
      <c r="F12" s="262">
        <v>186.08</v>
      </c>
      <c r="G12" s="252" t="s">
        <v>167</v>
      </c>
      <c r="H12" s="41"/>
    </row>
    <row r="13" spans="2:8" ht="93">
      <c r="B13" s="256"/>
      <c r="C13" s="21" t="s">
        <v>64</v>
      </c>
      <c r="D13" s="26" t="s">
        <v>104</v>
      </c>
      <c r="E13" s="23">
        <v>173.12</v>
      </c>
      <c r="F13" s="262"/>
      <c r="G13" s="252"/>
      <c r="H13" s="41"/>
    </row>
    <row r="14" spans="2:8" ht="135" customHeight="1">
      <c r="B14" s="256"/>
      <c r="C14" s="21" t="s">
        <v>106</v>
      </c>
      <c r="D14" s="255" t="s">
        <v>105</v>
      </c>
      <c r="E14" s="23">
        <f>80*2</f>
        <v>160</v>
      </c>
      <c r="F14" s="262"/>
      <c r="G14" s="252"/>
      <c r="H14" s="41"/>
    </row>
    <row r="15" spans="2:8" ht="83.25" customHeight="1">
      <c r="B15" s="257"/>
      <c r="C15" s="21" t="s">
        <v>65</v>
      </c>
      <c r="D15" s="257"/>
      <c r="E15" s="23">
        <v>140</v>
      </c>
      <c r="F15" s="262"/>
      <c r="G15" s="252"/>
      <c r="H15" s="41"/>
    </row>
    <row r="16" spans="2:8" ht="54.75" customHeight="1">
      <c r="B16" s="255" t="s">
        <v>155</v>
      </c>
      <c r="C16" s="259" t="s">
        <v>166</v>
      </c>
      <c r="D16" s="51" t="s">
        <v>161</v>
      </c>
      <c r="E16" s="61">
        <v>1.834</v>
      </c>
      <c r="F16" s="262">
        <v>43.46</v>
      </c>
      <c r="G16" s="252" t="s">
        <v>248</v>
      </c>
      <c r="H16" s="41"/>
    </row>
    <row r="17" spans="2:8" ht="54.75" customHeight="1">
      <c r="B17" s="256"/>
      <c r="C17" s="260"/>
      <c r="D17" s="51" t="s">
        <v>162</v>
      </c>
      <c r="E17" s="23">
        <v>1.824</v>
      </c>
      <c r="F17" s="263"/>
      <c r="G17" s="268"/>
      <c r="H17" s="41"/>
    </row>
    <row r="18" spans="2:8" ht="54.75" customHeight="1">
      <c r="B18" s="256"/>
      <c r="C18" s="260"/>
      <c r="D18" s="51" t="s">
        <v>163</v>
      </c>
      <c r="E18" s="23">
        <v>1.817</v>
      </c>
      <c r="F18" s="263"/>
      <c r="G18" s="268"/>
      <c r="H18" s="41"/>
    </row>
    <row r="19" spans="2:8" ht="43.5" customHeight="1">
      <c r="B19" s="256"/>
      <c r="C19" s="260"/>
      <c r="D19" s="51" t="s">
        <v>164</v>
      </c>
      <c r="E19" s="23">
        <v>1.757</v>
      </c>
      <c r="F19" s="263"/>
      <c r="G19" s="268"/>
      <c r="H19" s="41"/>
    </row>
    <row r="20" spans="2:8" ht="36.75" customHeight="1">
      <c r="B20" s="256"/>
      <c r="C20" s="260"/>
      <c r="D20" s="51" t="s">
        <v>165</v>
      </c>
      <c r="E20" s="23">
        <v>1.824</v>
      </c>
      <c r="F20" s="264"/>
      <c r="G20" s="269"/>
      <c r="H20" s="41"/>
    </row>
    <row r="21" spans="2:7" ht="62.25">
      <c r="B21" s="255" t="s">
        <v>34</v>
      </c>
      <c r="C21" s="21" t="s">
        <v>108</v>
      </c>
      <c r="D21" s="26" t="s">
        <v>66</v>
      </c>
      <c r="E21" s="22">
        <v>132</v>
      </c>
      <c r="F21" s="238">
        <v>160</v>
      </c>
      <c r="G21" s="252" t="s">
        <v>249</v>
      </c>
    </row>
    <row r="22" spans="2:7" ht="223.5" customHeight="1">
      <c r="B22" s="257"/>
      <c r="C22" s="21" t="s">
        <v>109</v>
      </c>
      <c r="D22" s="26" t="s">
        <v>110</v>
      </c>
      <c r="E22" s="22">
        <v>160</v>
      </c>
      <c r="F22" s="239"/>
      <c r="G22" s="269"/>
    </row>
    <row r="23" spans="2:7" ht="132" customHeight="1">
      <c r="B23" s="238" t="s">
        <v>14</v>
      </c>
      <c r="C23" s="255" t="s">
        <v>67</v>
      </c>
      <c r="D23" s="26" t="s">
        <v>68</v>
      </c>
      <c r="E23" s="23">
        <v>12</v>
      </c>
      <c r="F23" s="262">
        <v>12</v>
      </c>
      <c r="G23" s="252" t="s">
        <v>250</v>
      </c>
    </row>
    <row r="24" spans="2:7" ht="15">
      <c r="B24" s="286"/>
      <c r="C24" s="256"/>
      <c r="D24" s="2" t="s">
        <v>69</v>
      </c>
      <c r="E24" s="23">
        <v>10.89</v>
      </c>
      <c r="F24" s="263"/>
      <c r="G24" s="253"/>
    </row>
    <row r="25" spans="2:7" ht="24" customHeight="1">
      <c r="B25" s="286"/>
      <c r="C25" s="257"/>
      <c r="D25" s="2" t="s">
        <v>70</v>
      </c>
      <c r="E25" s="22">
        <v>14.52</v>
      </c>
      <c r="F25" s="264"/>
      <c r="G25" s="254"/>
    </row>
    <row r="26" spans="2:7" ht="46.5" customHeight="1">
      <c r="B26" s="286"/>
      <c r="C26" s="259" t="s">
        <v>71</v>
      </c>
      <c r="D26" s="2" t="s">
        <v>69</v>
      </c>
      <c r="E26" s="23">
        <v>24.2</v>
      </c>
      <c r="F26" s="262">
        <v>22.99</v>
      </c>
      <c r="G26" s="252" t="s">
        <v>113</v>
      </c>
    </row>
    <row r="27" spans="2:7" ht="15">
      <c r="B27" s="286"/>
      <c r="C27" s="260"/>
      <c r="D27" s="2" t="s">
        <v>72</v>
      </c>
      <c r="E27" s="22">
        <v>22.99</v>
      </c>
      <c r="F27" s="263"/>
      <c r="G27" s="253"/>
    </row>
    <row r="28" spans="2:7" ht="32.25" customHeight="1">
      <c r="B28" s="239"/>
      <c r="C28" s="261"/>
      <c r="D28" s="2" t="s">
        <v>70</v>
      </c>
      <c r="E28" s="22">
        <v>30.25</v>
      </c>
      <c r="F28" s="264"/>
      <c r="G28" s="254"/>
    </row>
    <row r="29" spans="2:7" ht="46.5" customHeight="1">
      <c r="B29" s="255" t="s">
        <v>19</v>
      </c>
      <c r="C29" s="259" t="s">
        <v>76</v>
      </c>
      <c r="D29" s="2" t="s">
        <v>73</v>
      </c>
      <c r="E29" s="23">
        <v>368.45</v>
      </c>
      <c r="F29" s="262">
        <f>E29</f>
        <v>368.45</v>
      </c>
      <c r="G29" s="265" t="s">
        <v>251</v>
      </c>
    </row>
    <row r="30" spans="2:7" ht="15">
      <c r="B30" s="256"/>
      <c r="C30" s="260"/>
      <c r="D30" s="2" t="s">
        <v>77</v>
      </c>
      <c r="E30" s="23">
        <v>343.46</v>
      </c>
      <c r="F30" s="263"/>
      <c r="G30" s="266"/>
    </row>
    <row r="31" spans="2:7" ht="15">
      <c r="B31" s="256"/>
      <c r="C31" s="260"/>
      <c r="D31" s="2" t="s">
        <v>74</v>
      </c>
      <c r="E31" s="22">
        <v>779.24</v>
      </c>
      <c r="F31" s="263"/>
      <c r="G31" s="266"/>
    </row>
    <row r="32" spans="2:7" ht="15">
      <c r="B32" s="257"/>
      <c r="C32" s="261"/>
      <c r="D32" s="2" t="s">
        <v>75</v>
      </c>
      <c r="E32" s="22">
        <v>799.66</v>
      </c>
      <c r="F32" s="264"/>
      <c r="G32" s="267"/>
    </row>
    <row r="33" spans="2:7" ht="46.5" customHeight="1">
      <c r="B33" s="255" t="s">
        <v>20</v>
      </c>
      <c r="C33" s="255" t="s">
        <v>81</v>
      </c>
      <c r="D33" s="2" t="s">
        <v>80</v>
      </c>
      <c r="E33" s="22">
        <f>14*1.21</f>
        <v>16.939999999999998</v>
      </c>
      <c r="F33" s="276">
        <v>14.52</v>
      </c>
      <c r="G33" s="252" t="s">
        <v>113</v>
      </c>
    </row>
    <row r="34" spans="2:7" ht="15">
      <c r="B34" s="256"/>
      <c r="C34" s="256"/>
      <c r="D34" s="2" t="s">
        <v>82</v>
      </c>
      <c r="E34" s="44">
        <f>12*1.21</f>
        <v>14.52</v>
      </c>
      <c r="F34" s="277"/>
      <c r="G34" s="253"/>
    </row>
    <row r="35" spans="2:7" ht="15">
      <c r="B35" s="257"/>
      <c r="C35" s="257"/>
      <c r="D35" s="2" t="s">
        <v>83</v>
      </c>
      <c r="E35" s="23">
        <f>12*1.21</f>
        <v>14.52</v>
      </c>
      <c r="F35" s="278"/>
      <c r="G35" s="254"/>
    </row>
    <row r="36" spans="2:7" ht="16.5" customHeight="1">
      <c r="B36" s="258" t="s">
        <v>45</v>
      </c>
      <c r="C36" s="256" t="s">
        <v>111</v>
      </c>
      <c r="D36" s="273" t="s">
        <v>84</v>
      </c>
      <c r="E36" s="273"/>
      <c r="F36" s="270">
        <f>AVERAGE(E36:E52)</f>
        <v>16.204050000000002</v>
      </c>
      <c r="G36" s="275" t="s">
        <v>112</v>
      </c>
    </row>
    <row r="37" spans="2:7" ht="15">
      <c r="B37" s="258"/>
      <c r="C37" s="256"/>
      <c r="D37" s="2" t="s">
        <v>94</v>
      </c>
      <c r="E37" s="23">
        <f>14.23*1.21</f>
        <v>17.2183</v>
      </c>
      <c r="F37" s="271"/>
      <c r="G37" s="275"/>
    </row>
    <row r="38" spans="2:7" ht="15">
      <c r="B38" s="258"/>
      <c r="C38" s="256"/>
      <c r="D38" s="2" t="s">
        <v>96</v>
      </c>
      <c r="E38" s="23">
        <v>14.23</v>
      </c>
      <c r="F38" s="271"/>
      <c r="G38" s="275"/>
    </row>
    <row r="39" spans="2:7" ht="15">
      <c r="B39" s="258"/>
      <c r="C39" s="256"/>
      <c r="D39" s="2" t="s">
        <v>95</v>
      </c>
      <c r="E39" s="23">
        <v>16</v>
      </c>
      <c r="F39" s="271"/>
      <c r="G39" s="275"/>
    </row>
    <row r="40" spans="2:7" ht="15">
      <c r="B40" s="258"/>
      <c r="C40" s="256"/>
      <c r="D40" s="2" t="s">
        <v>93</v>
      </c>
      <c r="E40" s="23">
        <f>14.66*1.21</f>
        <v>17.738599999999998</v>
      </c>
      <c r="F40" s="271"/>
      <c r="G40" s="275"/>
    </row>
    <row r="41" spans="2:7" ht="15">
      <c r="B41" s="258"/>
      <c r="C41" s="256"/>
      <c r="D41" s="2" t="s">
        <v>97</v>
      </c>
      <c r="E41" s="23">
        <v>16</v>
      </c>
      <c r="F41" s="271"/>
      <c r="G41" s="275"/>
    </row>
    <row r="42" spans="2:7" ht="15">
      <c r="B42" s="258"/>
      <c r="C42" s="256"/>
      <c r="D42" s="2" t="s">
        <v>98</v>
      </c>
      <c r="E42" s="22">
        <v>15.98</v>
      </c>
      <c r="F42" s="271"/>
      <c r="G42" s="275"/>
    </row>
    <row r="43" spans="2:7" ht="15">
      <c r="B43" s="258"/>
      <c r="C43" s="256"/>
      <c r="D43" s="274" t="s">
        <v>85</v>
      </c>
      <c r="E43" s="274"/>
      <c r="F43" s="271"/>
      <c r="G43" s="275"/>
    </row>
    <row r="44" spans="2:7" ht="30.75">
      <c r="B44" s="258"/>
      <c r="C44" s="256"/>
      <c r="D44" s="26" t="s">
        <v>87</v>
      </c>
      <c r="E44" s="22">
        <v>19.01</v>
      </c>
      <c r="F44" s="271"/>
      <c r="G44" s="275"/>
    </row>
    <row r="45" spans="2:7" ht="15">
      <c r="B45" s="258"/>
      <c r="C45" s="256"/>
      <c r="D45" s="26" t="s">
        <v>91</v>
      </c>
      <c r="E45" s="22">
        <f>12*1.21</f>
        <v>14.52</v>
      </c>
      <c r="F45" s="271"/>
      <c r="G45" s="275"/>
    </row>
    <row r="46" spans="2:7" ht="15">
      <c r="B46" s="258"/>
      <c r="C46" s="256"/>
      <c r="D46" s="26" t="s">
        <v>88</v>
      </c>
      <c r="E46" s="23">
        <v>24.2</v>
      </c>
      <c r="F46" s="271"/>
      <c r="G46" s="275"/>
    </row>
    <row r="47" spans="2:7" ht="15">
      <c r="B47" s="258"/>
      <c r="C47" s="256"/>
      <c r="D47" s="26" t="s">
        <v>89</v>
      </c>
      <c r="E47" s="22">
        <v>18.15</v>
      </c>
      <c r="F47" s="271"/>
      <c r="G47" s="275"/>
    </row>
    <row r="48" spans="2:7" ht="15">
      <c r="B48" s="258"/>
      <c r="C48" s="256"/>
      <c r="D48" s="26" t="s">
        <v>90</v>
      </c>
      <c r="E48" s="22">
        <v>8.47</v>
      </c>
      <c r="F48" s="271"/>
      <c r="G48" s="275"/>
    </row>
    <row r="49" spans="2:7" ht="30.75">
      <c r="B49" s="258"/>
      <c r="C49" s="256"/>
      <c r="D49" s="26" t="s">
        <v>100</v>
      </c>
      <c r="E49" s="23">
        <v>13.7698</v>
      </c>
      <c r="F49" s="271"/>
      <c r="G49" s="275"/>
    </row>
    <row r="50" spans="2:7" ht="15">
      <c r="B50" s="258"/>
      <c r="C50" s="256"/>
      <c r="D50" s="274" t="s">
        <v>86</v>
      </c>
      <c r="E50" s="274"/>
      <c r="F50" s="271"/>
      <c r="G50" s="275"/>
    </row>
    <row r="51" spans="2:7" ht="15">
      <c r="B51" s="258"/>
      <c r="C51" s="256"/>
      <c r="D51" s="2" t="s">
        <v>99</v>
      </c>
      <c r="E51" s="23">
        <v>11</v>
      </c>
      <c r="F51" s="271"/>
      <c r="G51" s="275"/>
    </row>
    <row r="52" spans="2:7" ht="15">
      <c r="B52" s="258"/>
      <c r="C52" s="257"/>
      <c r="D52" s="26" t="s">
        <v>92</v>
      </c>
      <c r="E52" s="23">
        <v>20.57</v>
      </c>
      <c r="F52" s="272"/>
      <c r="G52" s="275"/>
    </row>
    <row r="53" spans="2:7" ht="72" customHeight="1">
      <c r="B53" s="251" t="s">
        <v>293</v>
      </c>
      <c r="C53" s="251" t="s">
        <v>289</v>
      </c>
      <c r="D53" s="180" t="s">
        <v>284</v>
      </c>
      <c r="E53" s="178">
        <f>(6+2)*16</f>
        <v>128</v>
      </c>
      <c r="F53" s="249">
        <f>AVERAGE(E53:E58)</f>
        <v>129.46666666666667</v>
      </c>
      <c r="G53" s="246" t="s">
        <v>296</v>
      </c>
    </row>
    <row r="54" spans="2:7" ht="72" customHeight="1">
      <c r="B54" s="251"/>
      <c r="C54" s="251"/>
      <c r="D54" s="180" t="s">
        <v>290</v>
      </c>
      <c r="E54" s="178">
        <f>(6+2)*16</f>
        <v>128</v>
      </c>
      <c r="F54" s="249"/>
      <c r="G54" s="247"/>
    </row>
    <row r="55" spans="2:7" ht="15">
      <c r="B55" s="251"/>
      <c r="C55" s="251"/>
      <c r="D55" s="180" t="s">
        <v>285</v>
      </c>
      <c r="E55" s="179">
        <f>(9+4.5)*0.5*16</f>
        <v>108</v>
      </c>
      <c r="F55" s="250"/>
      <c r="G55" s="247"/>
    </row>
    <row r="56" spans="2:7" ht="15">
      <c r="B56" s="251"/>
      <c r="C56" s="251"/>
      <c r="D56" s="180" t="s">
        <v>286</v>
      </c>
      <c r="E56" s="179">
        <f>(4+1.5)*16</f>
        <v>88</v>
      </c>
      <c r="F56" s="250"/>
      <c r="G56" s="247"/>
    </row>
    <row r="57" spans="2:7" ht="15">
      <c r="B57" s="251"/>
      <c r="C57" s="251"/>
      <c r="D57" s="180" t="s">
        <v>287</v>
      </c>
      <c r="E57" s="179">
        <f>(10+5)*16</f>
        <v>240</v>
      </c>
      <c r="F57" s="250"/>
      <c r="G57" s="247"/>
    </row>
    <row r="58" spans="2:7" ht="15">
      <c r="B58" s="251"/>
      <c r="C58" s="251"/>
      <c r="D58" s="180" t="s">
        <v>288</v>
      </c>
      <c r="E58" s="179">
        <f>(3.5+1.8)*16</f>
        <v>84.8</v>
      </c>
      <c r="F58" s="250"/>
      <c r="G58" s="247"/>
    </row>
    <row r="59" spans="2:7" ht="46.5" customHeight="1">
      <c r="B59" s="246" t="s">
        <v>294</v>
      </c>
      <c r="C59" s="246" t="s">
        <v>295</v>
      </c>
      <c r="D59" s="180" t="s">
        <v>292</v>
      </c>
      <c r="E59" s="181">
        <v>30</v>
      </c>
      <c r="F59" s="250">
        <f>AVERAGE(E59:E61)</f>
        <v>32.1</v>
      </c>
      <c r="G59" s="251" t="s">
        <v>297</v>
      </c>
    </row>
    <row r="60" spans="2:7" ht="46.5">
      <c r="B60" s="247"/>
      <c r="C60" s="247"/>
      <c r="D60" s="180" t="s">
        <v>291</v>
      </c>
      <c r="E60" s="181">
        <v>30</v>
      </c>
      <c r="F60" s="250"/>
      <c r="G60" s="251"/>
    </row>
    <row r="61" spans="2:7" ht="30.75">
      <c r="B61" s="248"/>
      <c r="C61" s="248"/>
      <c r="D61" s="180" t="s">
        <v>305</v>
      </c>
      <c r="E61" s="181">
        <f>30*1.21</f>
        <v>36.3</v>
      </c>
      <c r="F61" s="250"/>
      <c r="G61" s="251"/>
    </row>
  </sheetData>
  <sheetProtection/>
  <mergeCells count="47">
    <mergeCell ref="C23:C25"/>
    <mergeCell ref="C26:C28"/>
    <mergeCell ref="D3:G3"/>
    <mergeCell ref="B5:G5"/>
    <mergeCell ref="B23:B28"/>
    <mergeCell ref="F26:F28"/>
    <mergeCell ref="G23:G25"/>
    <mergeCell ref="G26:G28"/>
    <mergeCell ref="C9:C11"/>
    <mergeCell ref="B9:B11"/>
    <mergeCell ref="F9:F11"/>
    <mergeCell ref="G9:G11"/>
    <mergeCell ref="F12:F15"/>
    <mergeCell ref="G12:G15"/>
    <mergeCell ref="B12:B15"/>
    <mergeCell ref="B21:B22"/>
    <mergeCell ref="B16:B20"/>
    <mergeCell ref="C16:C20"/>
    <mergeCell ref="D14:D15"/>
    <mergeCell ref="F16:F20"/>
    <mergeCell ref="G16:G20"/>
    <mergeCell ref="F36:F52"/>
    <mergeCell ref="D36:E36"/>
    <mergeCell ref="D43:E43"/>
    <mergeCell ref="D50:E50"/>
    <mergeCell ref="G36:G52"/>
    <mergeCell ref="F21:F22"/>
    <mergeCell ref="G21:G22"/>
    <mergeCell ref="F23:F25"/>
    <mergeCell ref="F33:F35"/>
    <mergeCell ref="G33:G35"/>
    <mergeCell ref="B33:B35"/>
    <mergeCell ref="C33:C35"/>
    <mergeCell ref="B36:B52"/>
    <mergeCell ref="C29:C32"/>
    <mergeCell ref="F29:F32"/>
    <mergeCell ref="G29:G32"/>
    <mergeCell ref="B29:B32"/>
    <mergeCell ref="C36:C52"/>
    <mergeCell ref="B59:B61"/>
    <mergeCell ref="C59:C61"/>
    <mergeCell ref="F53:F58"/>
    <mergeCell ref="B53:B58"/>
    <mergeCell ref="C53:C58"/>
    <mergeCell ref="G53:G58"/>
    <mergeCell ref="F59:F61"/>
    <mergeCell ref="G59:G61"/>
  </mergeCells>
  <printOptions/>
  <pageMargins left="0.7" right="0.7" top="0.75" bottom="0.75" header="0.3" footer="0.3"/>
  <pageSetup fitToHeight="1" fitToWidth="1" horizontalDpi="600" verticalDpi="600" orientation="portrait" paperSize="9" scale="38" r:id="rId1"/>
</worksheet>
</file>

<file path=xl/worksheets/sheet7.xml><?xml version="1.0" encoding="utf-8"?>
<worksheet xmlns="http://schemas.openxmlformats.org/spreadsheetml/2006/main" xmlns:r="http://schemas.openxmlformats.org/officeDocument/2006/relationships">
  <sheetPr>
    <pageSetUpPr fitToPage="1"/>
  </sheetPr>
  <dimension ref="B2:O16"/>
  <sheetViews>
    <sheetView showGridLines="0" zoomScale="90" zoomScaleNormal="90" zoomScalePageLayoutView="0" workbookViewId="0" topLeftCell="A11">
      <selection activeCell="H9" sqref="H9"/>
    </sheetView>
  </sheetViews>
  <sheetFormatPr defaultColWidth="9.140625" defaultRowHeight="15"/>
  <cols>
    <col min="2" max="2" width="29.00390625" style="0" customWidth="1"/>
    <col min="3" max="3" width="13.57421875" style="5" customWidth="1"/>
    <col min="4" max="4" width="16.00390625" style="5" customWidth="1"/>
    <col min="5" max="5" width="15.57421875" style="0" customWidth="1"/>
    <col min="6" max="6" width="10.8515625" style="0" customWidth="1"/>
    <col min="7" max="7" width="12.00390625" style="0" customWidth="1"/>
    <col min="8" max="8" width="49.140625" style="0" customWidth="1"/>
    <col min="9" max="9" width="40.421875" style="0" customWidth="1"/>
  </cols>
  <sheetData>
    <row r="2" spans="5:11" ht="15">
      <c r="E2" s="14"/>
      <c r="F2" s="14"/>
      <c r="G2" s="14"/>
      <c r="H2" s="214" t="s">
        <v>206</v>
      </c>
      <c r="I2" s="214"/>
      <c r="J2" s="14"/>
      <c r="K2" s="14"/>
    </row>
    <row r="3" spans="5:13" ht="15">
      <c r="E3" s="14"/>
      <c r="F3" s="14"/>
      <c r="G3" s="14"/>
      <c r="H3" s="14"/>
      <c r="I3" s="14"/>
      <c r="J3" s="14"/>
      <c r="K3" s="14"/>
      <c r="L3" s="14"/>
      <c r="M3" s="14"/>
    </row>
    <row r="4" spans="2:13" ht="15" customHeight="1">
      <c r="B4" s="217" t="s">
        <v>169</v>
      </c>
      <c r="C4" s="217"/>
      <c r="D4" s="217"/>
      <c r="E4" s="217"/>
      <c r="F4" s="217"/>
      <c r="G4" s="217"/>
      <c r="H4" s="217"/>
      <c r="I4" s="217"/>
      <c r="J4" s="42"/>
      <c r="K4" s="42"/>
      <c r="L4" s="42"/>
      <c r="M4" s="14"/>
    </row>
    <row r="5" spans="5:13" ht="15">
      <c r="E5" s="14"/>
      <c r="F5" s="14"/>
      <c r="G5" s="14"/>
      <c r="H5" s="14"/>
      <c r="I5" s="14"/>
      <c r="J5" s="14"/>
      <c r="K5" s="14"/>
      <c r="L5" s="14"/>
      <c r="M5" s="14"/>
    </row>
    <row r="6" spans="2:9" s="5" customFormat="1" ht="48.75" customHeight="1">
      <c r="B6" s="293" t="s">
        <v>6</v>
      </c>
      <c r="C6" s="294" t="s">
        <v>170</v>
      </c>
      <c r="D6" s="294" t="s">
        <v>171</v>
      </c>
      <c r="E6" s="294" t="s">
        <v>141</v>
      </c>
      <c r="F6" s="294" t="s">
        <v>142</v>
      </c>
      <c r="G6" s="294" t="s">
        <v>11</v>
      </c>
      <c r="H6" s="293" t="s">
        <v>5</v>
      </c>
      <c r="I6" s="293" t="s">
        <v>16</v>
      </c>
    </row>
    <row r="7" spans="2:9" ht="14.25">
      <c r="B7" s="293"/>
      <c r="C7" s="295"/>
      <c r="D7" s="295"/>
      <c r="E7" s="296"/>
      <c r="F7" s="296"/>
      <c r="G7" s="295"/>
      <c r="H7" s="293"/>
      <c r="I7" s="293"/>
    </row>
    <row r="8" spans="2:9" ht="180" customHeight="1">
      <c r="B8" s="43" t="s">
        <v>146</v>
      </c>
      <c r="C8" s="182">
        <v>186.2</v>
      </c>
      <c r="D8" s="183">
        <v>20</v>
      </c>
      <c r="E8" s="184">
        <f>C8*D8</f>
        <v>3724</v>
      </c>
      <c r="F8" s="184">
        <v>1</v>
      </c>
      <c r="G8" s="184">
        <f>E8*F8</f>
        <v>3724</v>
      </c>
      <c r="H8" s="56" t="s">
        <v>279</v>
      </c>
      <c r="I8" s="148" t="s">
        <v>153</v>
      </c>
    </row>
    <row r="9" spans="2:9" s="5" customFormat="1" ht="130.5" customHeight="1">
      <c r="B9" s="110" t="s">
        <v>269</v>
      </c>
      <c r="C9" s="182">
        <v>27.19</v>
      </c>
      <c r="D9" s="185">
        <v>20</v>
      </c>
      <c r="E9" s="184">
        <f>C9*D9</f>
        <v>543.8000000000001</v>
      </c>
      <c r="F9" s="184">
        <v>1</v>
      </c>
      <c r="G9" s="184">
        <f>E9*F9</f>
        <v>543.8000000000001</v>
      </c>
      <c r="H9" s="56" t="s">
        <v>361</v>
      </c>
      <c r="I9" s="148"/>
    </row>
    <row r="10" spans="2:9" ht="218.25">
      <c r="B10" s="186" t="s">
        <v>14</v>
      </c>
      <c r="C10" s="182">
        <v>25.2</v>
      </c>
      <c r="D10" s="187">
        <v>20</v>
      </c>
      <c r="E10" s="188">
        <f>C10*D10</f>
        <v>504</v>
      </c>
      <c r="F10" s="184">
        <v>1</v>
      </c>
      <c r="G10" s="184">
        <f>E10*F10</f>
        <v>504</v>
      </c>
      <c r="H10" s="57" t="s">
        <v>349</v>
      </c>
      <c r="I10" s="54" t="s">
        <v>144</v>
      </c>
    </row>
    <row r="11" spans="2:9" ht="121.5" customHeight="1">
      <c r="B11" s="43" t="s">
        <v>145</v>
      </c>
      <c r="C11" s="182">
        <v>20.21</v>
      </c>
      <c r="D11" s="183">
        <v>20</v>
      </c>
      <c r="E11" s="188">
        <f>C11*D11</f>
        <v>404.20000000000005</v>
      </c>
      <c r="F11" s="184">
        <v>1</v>
      </c>
      <c r="G11" s="184">
        <f>E11*F11</f>
        <v>404.20000000000005</v>
      </c>
      <c r="H11" s="57" t="s">
        <v>350</v>
      </c>
      <c r="I11" s="57" t="s">
        <v>173</v>
      </c>
    </row>
    <row r="12" spans="2:9" s="5" customFormat="1" ht="296.25">
      <c r="B12" s="43" t="s">
        <v>276</v>
      </c>
      <c r="C12" s="182">
        <v>143.98</v>
      </c>
      <c r="D12" s="183">
        <v>20</v>
      </c>
      <c r="E12" s="184">
        <f>C12*D12</f>
        <v>2879.6</v>
      </c>
      <c r="F12" s="184">
        <v>1</v>
      </c>
      <c r="G12" s="184">
        <f>E12*F12</f>
        <v>2879.6</v>
      </c>
      <c r="H12" s="57" t="s">
        <v>351</v>
      </c>
      <c r="I12" s="57" t="s">
        <v>277</v>
      </c>
    </row>
    <row r="13" spans="2:9" s="5" customFormat="1" ht="258" customHeight="1">
      <c r="B13" s="43" t="s">
        <v>179</v>
      </c>
      <c r="C13" s="89">
        <f>17.5*0.4</f>
        <v>7</v>
      </c>
      <c r="D13" s="90">
        <v>20</v>
      </c>
      <c r="E13" s="91">
        <f>C13*D13/4</f>
        <v>35</v>
      </c>
      <c r="F13" s="92">
        <v>1</v>
      </c>
      <c r="G13" s="92">
        <f>C13*D13</f>
        <v>140</v>
      </c>
      <c r="H13" s="57" t="s">
        <v>352</v>
      </c>
      <c r="I13" s="56" t="s">
        <v>178</v>
      </c>
    </row>
    <row r="14" spans="2:9" s="5" customFormat="1" ht="92.25" customHeight="1">
      <c r="B14" s="43" t="s">
        <v>30</v>
      </c>
      <c r="C14" s="89">
        <f>E14/20</f>
        <v>18.608</v>
      </c>
      <c r="D14" s="90">
        <v>20</v>
      </c>
      <c r="E14" s="91">
        <f>186.08*2</f>
        <v>372.16</v>
      </c>
      <c r="F14" s="92">
        <v>1</v>
      </c>
      <c r="G14" s="92">
        <f>E14*F14</f>
        <v>372.16</v>
      </c>
      <c r="H14" s="57"/>
      <c r="I14" s="56" t="s">
        <v>275</v>
      </c>
    </row>
    <row r="15" spans="2:9" s="5" customFormat="1" ht="15">
      <c r="B15" s="59" t="s">
        <v>154</v>
      </c>
      <c r="C15" s="66">
        <f>SUM(C8:C14)</f>
        <v>428.388</v>
      </c>
      <c r="D15" s="59">
        <v>20</v>
      </c>
      <c r="E15" s="29"/>
      <c r="F15" s="29"/>
      <c r="G15" s="58">
        <f>SUM(G8:G14)</f>
        <v>8567.76</v>
      </c>
      <c r="H15" s="29"/>
      <c r="I15" s="82"/>
    </row>
    <row r="16" spans="2:15" s="5" customFormat="1" ht="14.25" customHeight="1">
      <c r="B16" s="42"/>
      <c r="C16" s="42"/>
      <c r="D16" s="42"/>
      <c r="E16" s="42"/>
      <c r="F16" s="42"/>
      <c r="G16" s="42"/>
      <c r="H16" s="42"/>
      <c r="I16" s="42"/>
      <c r="J16" s="42"/>
      <c r="K16" s="42"/>
      <c r="L16" s="42"/>
      <c r="M16" s="42"/>
      <c r="N16" s="42"/>
      <c r="O16" s="14"/>
    </row>
  </sheetData>
  <sheetProtection/>
  <mergeCells count="10">
    <mergeCell ref="H6:H7"/>
    <mergeCell ref="C6:C7"/>
    <mergeCell ref="D6:D7"/>
    <mergeCell ref="I6:I7"/>
    <mergeCell ref="H2:I2"/>
    <mergeCell ref="B4:I4"/>
    <mergeCell ref="E6:E7"/>
    <mergeCell ref="F6:F7"/>
    <mergeCell ref="G6:G7"/>
    <mergeCell ref="B6:B7"/>
  </mergeCells>
  <printOptions/>
  <pageMargins left="0.7" right="0.7" top="0.75" bottom="0.75" header="0.3" footer="0.3"/>
  <pageSetup fitToHeight="0" fitToWidth="1" horizontalDpi="600" verticalDpi="600" orientation="landscape" paperSize="9" scale="67" r:id="rId1"/>
</worksheet>
</file>

<file path=xl/worksheets/sheet8.xml><?xml version="1.0" encoding="utf-8"?>
<worksheet xmlns="http://schemas.openxmlformats.org/spreadsheetml/2006/main" xmlns:r="http://schemas.openxmlformats.org/officeDocument/2006/relationships">
  <sheetPr>
    <pageSetUpPr fitToPage="1"/>
  </sheetPr>
  <dimension ref="B2:O13"/>
  <sheetViews>
    <sheetView showGridLines="0" zoomScale="75" zoomScaleNormal="75" zoomScalePageLayoutView="0" workbookViewId="0" topLeftCell="A1">
      <selection activeCell="H3" sqref="H3"/>
    </sheetView>
  </sheetViews>
  <sheetFormatPr defaultColWidth="9.140625" defaultRowHeight="15"/>
  <cols>
    <col min="1" max="1" width="8.8515625" style="5" customWidth="1"/>
    <col min="2" max="2" width="29.00390625" style="5" customWidth="1"/>
    <col min="3" max="3" width="13.57421875" style="5" customWidth="1"/>
    <col min="4" max="4" width="16.00390625" style="5" customWidth="1"/>
    <col min="5" max="5" width="15.57421875" style="5" customWidth="1"/>
    <col min="6" max="6" width="10.8515625" style="5" customWidth="1"/>
    <col min="7" max="7" width="12.00390625" style="5" customWidth="1"/>
    <col min="8" max="8" width="49.140625" style="5" customWidth="1"/>
    <col min="9" max="9" width="40.421875" style="5" customWidth="1"/>
    <col min="10" max="16384" width="8.8515625" style="5" customWidth="1"/>
  </cols>
  <sheetData>
    <row r="2" spans="5:11" ht="15">
      <c r="E2" s="14"/>
      <c r="F2" s="14"/>
      <c r="G2" s="14"/>
      <c r="H2" s="214" t="s">
        <v>326</v>
      </c>
      <c r="I2" s="214"/>
      <c r="J2" s="14"/>
      <c r="K2" s="14"/>
    </row>
    <row r="3" spans="5:13" ht="15">
      <c r="E3" s="14"/>
      <c r="F3" s="14"/>
      <c r="G3" s="14"/>
      <c r="H3" s="14"/>
      <c r="I3" s="14"/>
      <c r="J3" s="14"/>
      <c r="K3" s="14"/>
      <c r="L3" s="14"/>
      <c r="M3" s="14"/>
    </row>
    <row r="4" spans="2:13" ht="15" customHeight="1">
      <c r="B4" s="217" t="s">
        <v>174</v>
      </c>
      <c r="C4" s="217"/>
      <c r="D4" s="217"/>
      <c r="E4" s="217"/>
      <c r="F4" s="217"/>
      <c r="G4" s="217"/>
      <c r="H4" s="217"/>
      <c r="I4" s="217"/>
      <c r="J4" s="42"/>
      <c r="K4" s="42"/>
      <c r="L4" s="42"/>
      <c r="M4" s="14"/>
    </row>
    <row r="5" spans="5:13" ht="15">
      <c r="E5" s="14"/>
      <c r="F5" s="14"/>
      <c r="G5" s="14"/>
      <c r="H5" s="14"/>
      <c r="I5" s="14"/>
      <c r="J5" s="14"/>
      <c r="K5" s="14"/>
      <c r="L5" s="14"/>
      <c r="M5" s="14"/>
    </row>
    <row r="6" spans="2:9" ht="48.75" customHeight="1">
      <c r="B6" s="293" t="s">
        <v>6</v>
      </c>
      <c r="C6" s="294" t="s">
        <v>170</v>
      </c>
      <c r="D6" s="294" t="s">
        <v>175</v>
      </c>
      <c r="E6" s="294" t="s">
        <v>141</v>
      </c>
      <c r="F6" s="294" t="s">
        <v>142</v>
      </c>
      <c r="G6" s="294" t="s">
        <v>11</v>
      </c>
      <c r="H6" s="293" t="s">
        <v>5</v>
      </c>
      <c r="I6" s="293" t="s">
        <v>16</v>
      </c>
    </row>
    <row r="7" spans="2:9" ht="14.25">
      <c r="B7" s="293"/>
      <c r="C7" s="295"/>
      <c r="D7" s="295"/>
      <c r="E7" s="295"/>
      <c r="F7" s="295"/>
      <c r="G7" s="295"/>
      <c r="H7" s="293"/>
      <c r="I7" s="293"/>
    </row>
    <row r="8" spans="2:9" ht="333" customHeight="1">
      <c r="B8" s="67" t="s">
        <v>151</v>
      </c>
      <c r="C8" s="68">
        <v>335.08</v>
      </c>
      <c r="D8" s="67">
        <v>13</v>
      </c>
      <c r="E8" s="85">
        <f>D8*C8/3</f>
        <v>1452.0133333333333</v>
      </c>
      <c r="F8" s="69">
        <v>3</v>
      </c>
      <c r="G8" s="85">
        <f>E8*F8</f>
        <v>4356.04</v>
      </c>
      <c r="H8" s="56" t="s">
        <v>264</v>
      </c>
      <c r="I8" s="53" t="s">
        <v>152</v>
      </c>
    </row>
    <row r="9" spans="2:9" ht="205.5" customHeight="1">
      <c r="B9" s="67" t="s">
        <v>143</v>
      </c>
      <c r="C9" s="68">
        <v>3</v>
      </c>
      <c r="D9" s="67">
        <v>13</v>
      </c>
      <c r="E9" s="69">
        <f>G9/F9</f>
        <v>13</v>
      </c>
      <c r="F9" s="69">
        <v>3</v>
      </c>
      <c r="G9" s="69">
        <f>C9*D9</f>
        <v>39</v>
      </c>
      <c r="H9" s="57" t="s">
        <v>177</v>
      </c>
      <c r="I9" s="55"/>
    </row>
    <row r="10" spans="2:9" ht="297.75" customHeight="1">
      <c r="B10" s="67" t="s">
        <v>172</v>
      </c>
      <c r="C10" s="68">
        <v>7.043</v>
      </c>
      <c r="D10" s="67">
        <v>13</v>
      </c>
      <c r="E10" s="69">
        <f>G10/F10</f>
        <v>30.519666666666666</v>
      </c>
      <c r="F10" s="69">
        <v>3</v>
      </c>
      <c r="G10" s="84">
        <f>C10*D10</f>
        <v>91.559</v>
      </c>
      <c r="H10" s="57" t="s">
        <v>261</v>
      </c>
      <c r="I10" s="53" t="s">
        <v>262</v>
      </c>
    </row>
    <row r="11" spans="2:9" ht="300.75" customHeight="1">
      <c r="B11" s="43" t="s">
        <v>179</v>
      </c>
      <c r="C11" s="68">
        <v>10.77</v>
      </c>
      <c r="D11" s="67">
        <v>13</v>
      </c>
      <c r="E11" s="84">
        <f>ROUND(G11/F11,2)</f>
        <v>46.67</v>
      </c>
      <c r="F11" s="69">
        <v>3</v>
      </c>
      <c r="G11" s="69">
        <f>C11*D11</f>
        <v>140.01</v>
      </c>
      <c r="H11" s="57" t="s">
        <v>214</v>
      </c>
      <c r="I11" s="82"/>
    </row>
    <row r="12" spans="2:9" ht="15">
      <c r="B12" s="59" t="s">
        <v>154</v>
      </c>
      <c r="C12" s="66">
        <f>SUM(C8:C11)</f>
        <v>355.893</v>
      </c>
      <c r="D12" s="59">
        <v>13</v>
      </c>
      <c r="E12" s="29"/>
      <c r="F12" s="29"/>
      <c r="G12" s="58">
        <f>SUM(G8:G11)</f>
        <v>4626.609</v>
      </c>
      <c r="H12" s="29"/>
      <c r="I12" s="82"/>
    </row>
    <row r="13" spans="2:15" ht="14.25" customHeight="1">
      <c r="B13" s="42"/>
      <c r="C13" s="42"/>
      <c r="D13" s="42"/>
      <c r="E13" s="42"/>
      <c r="F13" s="42"/>
      <c r="G13" s="42"/>
      <c r="H13" s="42"/>
      <c r="I13" s="42"/>
      <c r="J13" s="42"/>
      <c r="K13" s="42"/>
      <c r="L13" s="42"/>
      <c r="M13" s="42"/>
      <c r="N13" s="42"/>
      <c r="O13" s="14"/>
    </row>
  </sheetData>
  <sheetProtection/>
  <mergeCells count="10">
    <mergeCell ref="H2:I2"/>
    <mergeCell ref="B4:I4"/>
    <mergeCell ref="B6:B7"/>
    <mergeCell ref="C6:C7"/>
    <mergeCell ref="D6:D7"/>
    <mergeCell ref="E6:E7"/>
    <mergeCell ref="F6:F7"/>
    <mergeCell ref="G6:G7"/>
    <mergeCell ref="H6:H7"/>
    <mergeCell ref="I6:I7"/>
  </mergeCells>
  <printOptions/>
  <pageMargins left="0.25" right="0.25" top="0.75" bottom="0.75" header="0.3" footer="0.3"/>
  <pageSetup fitToHeight="0" fitToWidth="1" horizontalDpi="600" verticalDpi="600" orientation="portrait" paperSize="9" scale="50" r:id="rId1"/>
</worksheet>
</file>

<file path=xl/worksheets/sheet9.xml><?xml version="1.0" encoding="utf-8"?>
<worksheet xmlns="http://schemas.openxmlformats.org/spreadsheetml/2006/main" xmlns:r="http://schemas.openxmlformats.org/officeDocument/2006/relationships">
  <sheetPr>
    <pageSetUpPr fitToPage="1"/>
  </sheetPr>
  <dimension ref="B2:K16"/>
  <sheetViews>
    <sheetView showGridLines="0" zoomScale="80" zoomScaleNormal="80" zoomScalePageLayoutView="0" workbookViewId="0" topLeftCell="A5">
      <selection activeCell="G7" sqref="G7:G9"/>
    </sheetView>
  </sheetViews>
  <sheetFormatPr defaultColWidth="9.140625" defaultRowHeight="15"/>
  <cols>
    <col min="2" max="2" width="45.140625" style="0" customWidth="1"/>
    <col min="3" max="3" width="22.57421875" style="0" customWidth="1"/>
    <col min="4" max="4" width="24.140625" style="0" customWidth="1"/>
    <col min="5" max="5" width="13.57421875" style="0" customWidth="1"/>
    <col min="6" max="6" width="16.00390625" style="0" customWidth="1"/>
    <col min="7" max="7" width="60.57421875" style="0" customWidth="1"/>
  </cols>
  <sheetData>
    <row r="2" spans="3:11" ht="15">
      <c r="C2" s="14"/>
      <c r="D2" s="14"/>
      <c r="E2" s="14"/>
      <c r="F2" s="14"/>
      <c r="G2" s="50" t="s">
        <v>327</v>
      </c>
      <c r="H2" s="14"/>
      <c r="I2" s="14"/>
      <c r="J2" s="214"/>
      <c r="K2" s="214"/>
    </row>
    <row r="3" spans="3:11" ht="15">
      <c r="C3" s="14"/>
      <c r="D3" s="14"/>
      <c r="E3" s="14"/>
      <c r="F3" s="14"/>
      <c r="G3" s="14"/>
      <c r="H3" s="14"/>
      <c r="I3" s="14"/>
      <c r="J3" s="14"/>
      <c r="K3" s="14"/>
    </row>
    <row r="4" spans="2:11" ht="37.5" customHeight="1">
      <c r="B4" s="217" t="s">
        <v>139</v>
      </c>
      <c r="C4" s="217"/>
      <c r="D4" s="217"/>
      <c r="E4" s="217"/>
      <c r="F4" s="217"/>
      <c r="G4" s="217"/>
      <c r="H4" s="42"/>
      <c r="I4" s="42"/>
      <c r="J4" s="42"/>
      <c r="K4" s="14"/>
    </row>
    <row r="6" spans="2:7" s="5" customFormat="1" ht="54" customHeight="1">
      <c r="B6" s="103" t="s">
        <v>6</v>
      </c>
      <c r="C6" s="97" t="s">
        <v>59</v>
      </c>
      <c r="D6" s="97" t="s">
        <v>60</v>
      </c>
      <c r="E6" s="97" t="s">
        <v>58</v>
      </c>
      <c r="F6" s="97" t="s">
        <v>107</v>
      </c>
      <c r="G6" s="97" t="s">
        <v>63</v>
      </c>
    </row>
    <row r="7" spans="2:7" ht="78" customHeight="1">
      <c r="B7" s="297" t="s">
        <v>145</v>
      </c>
      <c r="C7" s="301" t="s">
        <v>148</v>
      </c>
      <c r="D7" s="108" t="s">
        <v>147</v>
      </c>
      <c r="E7" s="108">
        <v>146</v>
      </c>
      <c r="F7" s="302">
        <f>367.34+(18.47*2)</f>
        <v>404.28</v>
      </c>
      <c r="G7" s="303" t="s">
        <v>353</v>
      </c>
    </row>
    <row r="8" spans="2:7" ht="46.5" customHeight="1">
      <c r="B8" s="297"/>
      <c r="C8" s="301"/>
      <c r="D8" s="108" t="s">
        <v>149</v>
      </c>
      <c r="E8" s="108">
        <v>150</v>
      </c>
      <c r="F8" s="302"/>
      <c r="G8" s="303"/>
    </row>
    <row r="9" spans="2:7" ht="60" customHeight="1">
      <c r="B9" s="297"/>
      <c r="C9" s="301"/>
      <c r="D9" s="108" t="s">
        <v>150</v>
      </c>
      <c r="E9" s="108">
        <v>255</v>
      </c>
      <c r="F9" s="302"/>
      <c r="G9" s="303"/>
    </row>
    <row r="10" spans="2:7" ht="39.75" customHeight="1">
      <c r="B10" s="297" t="s">
        <v>270</v>
      </c>
      <c r="C10" s="297" t="s">
        <v>274</v>
      </c>
      <c r="D10" s="79" t="s">
        <v>272</v>
      </c>
      <c r="E10" s="108">
        <v>95.98</v>
      </c>
      <c r="F10" s="298">
        <v>95.98</v>
      </c>
      <c r="G10" s="303" t="s">
        <v>304</v>
      </c>
    </row>
    <row r="11" spans="2:7" ht="38.25" customHeight="1">
      <c r="B11" s="297"/>
      <c r="C11" s="297"/>
      <c r="D11" s="79" t="s">
        <v>273</v>
      </c>
      <c r="E11" s="108">
        <v>125.54</v>
      </c>
      <c r="F11" s="299"/>
      <c r="G11" s="303"/>
    </row>
    <row r="12" spans="2:7" ht="46.5" customHeight="1">
      <c r="B12" s="297"/>
      <c r="C12" s="297"/>
      <c r="D12" s="79" t="s">
        <v>271</v>
      </c>
      <c r="E12" s="108">
        <v>85</v>
      </c>
      <c r="F12" s="300"/>
      <c r="G12" s="303"/>
    </row>
    <row r="13" spans="2:7" ht="48" customHeight="1">
      <c r="B13" s="304" t="s">
        <v>179</v>
      </c>
      <c r="C13" s="304" t="s">
        <v>184</v>
      </c>
      <c r="D13" s="108" t="s">
        <v>180</v>
      </c>
      <c r="E13" s="108">
        <f>11*2</f>
        <v>22</v>
      </c>
      <c r="F13" s="298">
        <f>AVERAGE(E13:E16)</f>
        <v>17.35</v>
      </c>
      <c r="G13" s="307" t="s">
        <v>252</v>
      </c>
    </row>
    <row r="14" spans="2:7" ht="48" customHeight="1">
      <c r="B14" s="305"/>
      <c r="C14" s="305"/>
      <c r="D14" s="108" t="s">
        <v>181</v>
      </c>
      <c r="E14" s="108">
        <f>9.66*2</f>
        <v>19.32</v>
      </c>
      <c r="F14" s="299"/>
      <c r="G14" s="308"/>
    </row>
    <row r="15" spans="2:7" ht="48" customHeight="1">
      <c r="B15" s="305"/>
      <c r="C15" s="305"/>
      <c r="D15" s="108" t="s">
        <v>182</v>
      </c>
      <c r="E15" s="108">
        <f>5.48*2</f>
        <v>10.96</v>
      </c>
      <c r="F15" s="299"/>
      <c r="G15" s="308"/>
    </row>
    <row r="16" spans="2:7" ht="52.5" customHeight="1">
      <c r="B16" s="306"/>
      <c r="C16" s="306"/>
      <c r="D16" s="108" t="s">
        <v>183</v>
      </c>
      <c r="E16" s="108">
        <f>8.56*2</f>
        <v>17.12</v>
      </c>
      <c r="F16" s="300"/>
      <c r="G16" s="309"/>
    </row>
  </sheetData>
  <sheetProtection/>
  <mergeCells count="14">
    <mergeCell ref="B13:B16"/>
    <mergeCell ref="C13:C16"/>
    <mergeCell ref="F13:F16"/>
    <mergeCell ref="G13:G16"/>
    <mergeCell ref="G10:G12"/>
    <mergeCell ref="C10:C12"/>
    <mergeCell ref="B10:B12"/>
    <mergeCell ref="B7:B9"/>
    <mergeCell ref="F10:F12"/>
    <mergeCell ref="J2:K2"/>
    <mergeCell ref="B4:G4"/>
    <mergeCell ref="C7:C9"/>
    <mergeCell ref="F7:F9"/>
    <mergeCell ref="G7:G9"/>
  </mergeCells>
  <printOptions/>
  <pageMargins left="0.25" right="0.25" top="0.75" bottom="0.75" header="0.3" footer="0.3"/>
  <pageSetup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Vita</dc:creator>
  <cp:keywords/>
  <dc:description/>
  <cp:lastModifiedBy>Ingrīda Ivanova</cp:lastModifiedBy>
  <cp:lastPrinted>2022-09-22T03:36:32Z</cp:lastPrinted>
  <dcterms:created xsi:type="dcterms:W3CDTF">2021-08-12T13:01:54Z</dcterms:created>
  <dcterms:modified xsi:type="dcterms:W3CDTF">2023-04-04T09:40:00Z</dcterms:modified>
  <cp:category/>
  <cp:version/>
  <cp:contentType/>
  <cp:contentStatus/>
</cp:coreProperties>
</file>