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5 (soc. aprūpes pakalp.)\Final\Apstiprināšanai\"/>
    </mc:Choice>
  </mc:AlternateContent>
  <xr:revisionPtr revIDLastSave="0" documentId="8_{3AA3482E-9F9D-4795-AA3A-2F2D6F729E7F}" xr6:coauthVersionLast="47" xr6:coauthVersionMax="47" xr10:uidLastSave="{00000000-0000-0000-0000-000000000000}"/>
  <bookViews>
    <workbookView xWindow="-110" yWindow="-110" windowWidth="19420" windowHeight="10420" xr2:uid="{00000000-000D-0000-FFFF-FFFF00000000}"/>
  </bookViews>
  <sheets>
    <sheet name="4.1. pielikums" sheetId="10" r:id="rId1"/>
    <sheet name="4.2. pielikums" sheetId="2" r:id="rId2"/>
    <sheet name="4.3. pielikums" sheetId="8" r:id="rId3"/>
    <sheet name="4.4. pielikums" sheetId="11" r:id="rId4"/>
    <sheet name="4.5. pielikums" sheetId="12" r:id="rId5"/>
    <sheet name="4.6. pielikums" sheetId="14" r:id="rId6"/>
    <sheet name="4.7. pielikums" sheetId="13" r:id="rId7"/>
  </sheets>
  <definedNames>
    <definedName name="_xlnm.Print_Titles" localSheetId="1">'4.2. pielikums'!$3:$4</definedName>
  </definedNames>
  <calcPr calcId="181029"/>
  <fileRecoveryPr autoRecover="0"/>
</workbook>
</file>

<file path=xl/calcChain.xml><?xml version="1.0" encoding="utf-8"?>
<calcChain xmlns="http://schemas.openxmlformats.org/spreadsheetml/2006/main">
  <c r="C7" i="2" l="1"/>
  <c r="C8" i="2" l="1"/>
  <c r="C10" i="2" l="1"/>
  <c r="C9" i="2"/>
  <c r="D9" i="2" s="1"/>
  <c r="B10" i="8" l="1"/>
  <c r="C9" i="8"/>
  <c r="D9" i="8" s="1"/>
  <c r="E9" i="8" s="1"/>
  <c r="F9" i="8" s="1"/>
  <c r="C8" i="8"/>
  <c r="D8" i="8" s="1"/>
  <c r="E8" i="8" s="1"/>
  <c r="F8" i="8" s="1"/>
  <c r="C7" i="8"/>
  <c r="D7" i="8" s="1"/>
  <c r="C6" i="8"/>
  <c r="B5" i="2"/>
  <c r="A12" i="2"/>
  <c r="D5" i="14"/>
  <c r="E5" i="14" s="1"/>
  <c r="D7" i="14"/>
  <c r="E7" i="14" s="1"/>
  <c r="A21" i="2"/>
  <c r="A20" i="2"/>
  <c r="A19" i="2"/>
  <c r="A18" i="2"/>
  <c r="A17" i="2"/>
  <c r="A15" i="2"/>
  <c r="A14" i="2"/>
  <c r="A13" i="2"/>
  <c r="V6" i="11"/>
  <c r="V7" i="11"/>
  <c r="V8" i="11"/>
  <c r="V9" i="11"/>
  <c r="V10" i="11"/>
  <c r="V11" i="11"/>
  <c r="V12" i="11"/>
  <c r="V13" i="11"/>
  <c r="V14" i="11"/>
  <c r="V15" i="11"/>
  <c r="V17" i="11"/>
  <c r="V5" i="11"/>
  <c r="O5" i="11"/>
  <c r="O11" i="11"/>
  <c r="D6" i="8"/>
  <c r="E6" i="8" s="1"/>
  <c r="F6" i="8" s="1"/>
  <c r="C7" i="12"/>
  <c r="C8" i="12" s="1"/>
  <c r="C10" i="12" s="1"/>
  <c r="C11" i="12" s="1"/>
  <c r="C12" i="12" s="1"/>
  <c r="D22" i="2" s="1"/>
  <c r="O16" i="11"/>
  <c r="W16" i="11" s="1"/>
  <c r="D7" i="2"/>
  <c r="O17" i="11"/>
  <c r="H17" i="11"/>
  <c r="O15" i="11"/>
  <c r="H15" i="11"/>
  <c r="O14" i="11"/>
  <c r="H14" i="11"/>
  <c r="O13" i="11"/>
  <c r="H13" i="11"/>
  <c r="W13" i="11" s="1"/>
  <c r="O12" i="11"/>
  <c r="H12" i="11"/>
  <c r="H11" i="11"/>
  <c r="W11" i="11" s="1"/>
  <c r="D16" i="2" s="1"/>
  <c r="O10" i="11"/>
  <c r="H10" i="11"/>
  <c r="O9" i="11"/>
  <c r="H9" i="11"/>
  <c r="O8" i="11"/>
  <c r="H8" i="11"/>
  <c r="O7" i="11"/>
  <c r="H7" i="11"/>
  <c r="O6" i="11"/>
  <c r="H6" i="11"/>
  <c r="W6" i="11" s="1"/>
  <c r="D18" i="2" s="1"/>
  <c r="C18" i="2" s="1"/>
  <c r="H5" i="11"/>
  <c r="D8" i="2"/>
  <c r="D10" i="2"/>
  <c r="D6" i="2"/>
  <c r="C5" i="2"/>
  <c r="W5" i="11" l="1"/>
  <c r="W7" i="11"/>
  <c r="D12" i="2" s="1"/>
  <c r="W12" i="11"/>
  <c r="D17" i="2" s="1"/>
  <c r="C17" i="2" s="1"/>
  <c r="C10" i="8"/>
  <c r="D5" i="2"/>
  <c r="W8" i="11"/>
  <c r="D15" i="2" s="1"/>
  <c r="C15" i="2" s="1"/>
  <c r="W10" i="11"/>
  <c r="D14" i="2" s="1"/>
  <c r="C14" i="2" s="1"/>
  <c r="W14" i="11"/>
  <c r="D20" i="2" s="1"/>
  <c r="C20" i="2" s="1"/>
  <c r="W17" i="11"/>
  <c r="D21" i="2" s="1"/>
  <c r="C21" i="2" s="1"/>
  <c r="W9" i="11"/>
  <c r="D13" i="2" s="1"/>
  <c r="C13" i="2" s="1"/>
  <c r="W15" i="11"/>
  <c r="D19" i="2" s="1"/>
  <c r="C19" i="2" s="1"/>
  <c r="C12" i="2"/>
  <c r="C22" i="2"/>
  <c r="G6" i="14"/>
  <c r="D24" i="2" s="1"/>
  <c r="D10" i="8"/>
  <c r="E7" i="8"/>
  <c r="F7" i="8" s="1"/>
  <c r="F10" i="8" s="1"/>
  <c r="D23" i="2" s="1"/>
  <c r="C16" i="2"/>
  <c r="C23" i="2" l="1"/>
  <c r="D11" i="2"/>
  <c r="C24" i="2"/>
  <c r="E10" i="8"/>
  <c r="C11" i="2" l="1"/>
  <c r="C25" i="2" s="1"/>
  <c r="D25" i="2"/>
  <c r="E25" i="2" l="1"/>
  <c r="E8" i="2"/>
  <c r="E9" i="2"/>
  <c r="E10" i="2"/>
  <c r="E17" i="2"/>
  <c r="E5" i="2"/>
  <c r="E18" i="2"/>
  <c r="E21" i="2"/>
  <c r="E7" i="2"/>
  <c r="E6" i="2"/>
  <c r="E13" i="2"/>
  <c r="E12" i="2"/>
  <c r="E19" i="2"/>
  <c r="E14" i="2"/>
  <c r="E16" i="2"/>
  <c r="E15" i="2"/>
  <c r="E22" i="2"/>
  <c r="E20" i="2"/>
  <c r="E23" i="2"/>
  <c r="E24" i="2"/>
  <c r="E11" i="2"/>
</calcChain>
</file>

<file path=xl/sharedStrings.xml><?xml version="1.0" encoding="utf-8"?>
<sst xmlns="http://schemas.openxmlformats.org/spreadsheetml/2006/main" count="216" uniqueCount="150">
  <si>
    <t>%</t>
  </si>
  <si>
    <t>Aprēķins</t>
  </si>
  <si>
    <t>Izmaksas                         1 klientam                dienā</t>
  </si>
  <si>
    <t>Paskaidrojums</t>
  </si>
  <si>
    <t>Pakalpojumi/speciālisti</t>
  </si>
  <si>
    <t>sociālais darbinieks</t>
  </si>
  <si>
    <t>Mācību materiāli un līdzekļi</t>
  </si>
  <si>
    <t>Saimniecības un higiēnas preces</t>
  </si>
  <si>
    <t>Transports (degviela, īre, apkope, apdrošināšana u.c.)</t>
  </si>
  <si>
    <t>Atlīdzības izmaksas kopā</t>
  </si>
  <si>
    <t xml:space="preserve">Speciālistu (slodžu) skaits </t>
  </si>
  <si>
    <t>Sakaru pakalpojumi (telefons, internets, pasts)</t>
  </si>
  <si>
    <t>grāmatvedis</t>
  </si>
  <si>
    <t xml:space="preserve">Pakalpojums "Specializētā darbnīca"  </t>
  </si>
  <si>
    <t>SD1</t>
  </si>
  <si>
    <t>SD2</t>
  </si>
  <si>
    <t>SD3</t>
  </si>
  <si>
    <t>SD4</t>
  </si>
  <si>
    <t>SD5</t>
  </si>
  <si>
    <t>SD6</t>
  </si>
  <si>
    <t>Grāmatvedis</t>
  </si>
  <si>
    <t>Apraksts</t>
  </si>
  <si>
    <t>Ar pakalpojuma  administrēšanu, prasību nodrošināšanu un klientu uzturēšanu saistītās izmaksas  kopā</t>
  </si>
  <si>
    <t>Izdevumu pozīcija</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</si>
  <si>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</si>
  <si>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</si>
  <si>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</si>
  <si>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</si>
  <si>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</si>
  <si>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Pakalpojuma "Specializētās darbnīcas"  sniedzēju izmaksu apkopojums un vidējo izmaksu aprēķins</t>
  </si>
  <si>
    <t xml:space="preserve">Sociālais darbinieks  (4 stundas darba dienā) </t>
  </si>
  <si>
    <t xml:space="preserve">Darbu vadītājs  (8 stundas darba dienā) </t>
  </si>
  <si>
    <t>Sociālais rehabilitētājs (4 stundas darba dienā)</t>
  </si>
  <si>
    <t>Saimnieciskie pamatlīdzekļi</t>
  </si>
  <si>
    <t>Inventārs, iekārtu remonts (materiāli un pakalpojums)</t>
  </si>
  <si>
    <t>Pakalpojuma mērķis</t>
  </si>
  <si>
    <t>Specialziētās darbnīcas ir darbnīcas, kurās izveidotas darba vietas un nodrošināts speciālistu atbalsts personām ar garīga rakstura traucējumiem.</t>
  </si>
  <si>
    <t>Pakalpojuma  saturs un apjoms</t>
  </si>
  <si>
    <t>Īpašie nosacījumi</t>
  </si>
  <si>
    <t>Specializētā darbnīca strādā pilnu darba dienas darbalaiku, pirmssvētku dienās centra darba diena ir par vienu stundu īsāka.</t>
  </si>
  <si>
    <t>Biedrība "PINS"</t>
  </si>
  <si>
    <t>Izmaksas kopā</t>
  </si>
  <si>
    <t>Pakalpojuma sniedzējs/ izmaksas</t>
  </si>
  <si>
    <t>Iekārtu lietošanas laiks 10 gadi = 120 mēneši</t>
  </si>
  <si>
    <t>Speciālo darbnīcu iekārtu izmaksu aprēķins</t>
  </si>
  <si>
    <t>Darbnīcas vadītājs</t>
  </si>
  <si>
    <t xml:space="preserve"> Slodze</t>
  </si>
  <si>
    <t>Telpu īres izmaksas, komunālie pakalpojumi (apkure, ūdens un kanalizācija, elektrība, gāze, atkritumu izvešana) un uzturēšanas pakalpojumi (apdrošināšana, signalizācijas sistēmu uzstādīšana, remontdarbu pakalpojumi).</t>
  </si>
  <si>
    <t>Kancelejas un biroja preces</t>
  </si>
  <si>
    <t>Mācību materiāli un līdzekļi, lai nodrošinātu nodarbības klientiem.</t>
  </si>
  <si>
    <t>euro</t>
  </si>
  <si>
    <t>Specializēto darbnīcu iekārtu izmaksas, euro</t>
  </si>
  <si>
    <t>Darbinieku veselības apdrošināšanas izmaksu aprēķins  pakalpojumam "Specializētās darbnīcas"</t>
  </si>
  <si>
    <t>4=3*213.43 euro</t>
  </si>
  <si>
    <t>5=4/2</t>
  </si>
  <si>
    <t xml:space="preserve">Darba devēja apmaksātie veselības apdrošināšanas izdevumi </t>
  </si>
  <si>
    <t>darbu vadītājs un sociālais rehabilitētājs</t>
  </si>
  <si>
    <t>darbnīcas vadītājs</t>
  </si>
  <si>
    <t>Pienākumi: (1) ievākt informāciju par klienta vajadzībām un novērtēt viņa sociālās iemaņas; (2) palīdzēt klientiem uzlabot viņu sociālās funkcionēšanas spējas; (3) novērtēt, kā mainās klienta sociālā funkcionēšana, palīdzēt klientam orientēties darba vidē; (4) skaidrot informāciju un palīdzēt izmantot informācijas tehnoloģijas; (5) palīdzēt organizēt brīvo laiku.</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</si>
  <si>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(3) nodrošināt klienta sociālā atbalsta tīkla veidošanu; (4) strādāt ar grupu, lai palīdzētu klientam attīstīt nepieciešamās prasmes; (5) aizstāvēt klientu intereses un tiesības; (6) veidot sadarbību ar citām institūcijām.</t>
  </si>
  <si>
    <t xml:space="preserve">Biedrība "Rīgas pilsētas "Rūpju bērns"" </t>
  </si>
  <si>
    <t>Nodibinājums"Fonds Kopā"</t>
  </si>
  <si>
    <t>Informācija iegūta no pašvaldībām un pašvaldību pakalpojumu sniedzējiem / no Sociālo pakalpojumu sniedzēju reģistrā reģistrētajiem 9 pakalpojumu sniedzējiem informācija iegūta no 6.</t>
  </si>
  <si>
    <t>Nr. p.k.</t>
  </si>
  <si>
    <t>Informācija par sociālo pakalpojumu sniedzējiem, kuru sniegtā informācija tika analizēta, veidojot pakalpojuma "Specializētās darbnīcas" grozu</t>
  </si>
  <si>
    <t>Pienākumi:  (1) gatavot pārskatus grāmatvedības jomā, veikt tiem nepieciešamos aprēķinus; (2) piedalīties gada un ceturkšņa pārskatu sastādīšanā; (3) veikt pilnu grāmatvedības uzskaiti iestādē.</t>
  </si>
  <si>
    <t>Speciālists</t>
  </si>
  <si>
    <t>4=2/3</t>
  </si>
  <si>
    <t>Institūcijas un struktūrvienības vadītājs</t>
  </si>
  <si>
    <t>Pārējie darbinieki</t>
  </si>
  <si>
    <t>Supervīzija</t>
  </si>
  <si>
    <t>Supervīzijas izmaksas par darba stundu (viens darbinieks)</t>
  </si>
  <si>
    <t>Vidējās supervīzijas izmaksas par darba stundu (viens darbinieks)</t>
  </si>
  <si>
    <t>Speciālo darbnīcu izmaksas</t>
  </si>
  <si>
    <t>5=4 (vidējais)</t>
  </si>
  <si>
    <t>Supervīzijas izmaksu aprēķins pakalpojumam "Specializētās darbnīcas"</t>
  </si>
  <si>
    <t>Klientam saskaņā ar Ministru kabineta 2017. gada 13. jūnija noteikumiem Nr. 338 "Prasības sociālo pakalpojumu sniedzējiem" (turpmāk - MK noteikumi Nr. 338) 176. punktu nodrošina:
- klienta nodarbinātības interešu un iemaņu novērtēšanu – atbilstoši vajadzībai;
- darba iemaņu apguvi;
- individuālās vai grupu nodarbības sociālā rehabilitētāja vadībā;
- sociālā darbinieka individuālās konsultācijas;
- klientu informēšanas un izglītošanas pasākumus atbilstoši nepieciešamībai;
- brīvā laika pasākumus.
Saskaņā ar MK noteikumu Nr. 338 178. punktu pakalpojuma sniedzējs var nodrošināt klientiem ēdināšanu.</t>
  </si>
  <si>
    <r>
      <t xml:space="preserve">Pakalpojuma izmaksas uz vienu klientu ir aprēķinātas, vadoties no situācijas, ka vienā darbnīcā pakalpojumu saņem 16 klienti. </t>
    </r>
    <r>
      <rPr>
        <sz val="11"/>
        <rFont val="Times New Roman"/>
        <family val="1"/>
        <charset val="186"/>
      </rPr>
      <t xml:space="preserve">Darbnīca saņem aprēķināto vienas dienas izmaksu summu </t>
    </r>
    <r>
      <rPr>
        <sz val="11"/>
        <color indexed="8"/>
        <rFont val="Times New Roman"/>
        <family val="1"/>
        <charset val="186"/>
      </rPr>
      <t>atbilstoši klie</t>
    </r>
    <r>
      <rPr>
        <sz val="11"/>
        <rFont val="Times New Roman"/>
        <family val="1"/>
        <charset val="186"/>
      </rPr>
      <t xml:space="preserve">ntu skaitam un darba dienu skaitam. </t>
    </r>
  </si>
  <si>
    <t>Pakalpojuma "Specializētās darbnīcas" apraksts</t>
  </si>
  <si>
    <t>Veselības apdrošināšanas izmaksas par 1 klientu dienā, euro</t>
  </si>
  <si>
    <t>Veselības apdrošināšanas izmaksas par 1 klientu gadā,  euro</t>
  </si>
  <si>
    <t xml:space="preserve">Klientu skaits, kam plānots sniegt pakalpojumu </t>
  </si>
  <si>
    <t>Izmaksas par vienu klientu dienā 2015. gadā, euro</t>
  </si>
  <si>
    <t>Izmaksas par vienu klientu dienā 2014. gadā, euro</t>
  </si>
  <si>
    <t>Izmaksas par vienu klientu dienā 2016. gadā, euro</t>
  </si>
  <si>
    <t>Vidējās izmaksas par 1 pakalpojuma sniedzēju</t>
  </si>
  <si>
    <t>Vidējās izmaksas mēnesī par 1 pakalpojuma sniedzēju</t>
  </si>
  <si>
    <t>Vidējās izmaksas mēnesī par 16 klientiem</t>
  </si>
  <si>
    <t>Vidējās izmaksas dienā par 1 klientu</t>
  </si>
  <si>
    <t xml:space="preserve">Pienākumi: (1) novērtēt klienta nodarbinātības intereses un iemaņas, to attīstības potenciālu; (2) organizēt un vadīt darba iemaņu apgūšanu, skaidrot un uzraudzīt, kā klients lieto darbam nepieciešamos instrumentus, iekārtas u.c. līdzekļus; (3) sniegt informāciju un skaidrojumus par nodarbinātības jautājumiem.  </t>
  </si>
  <si>
    <t>Darbinieku skaits</t>
  </si>
  <si>
    <t>Kopā:</t>
  </si>
  <si>
    <t>Ēdināšanas izdevumi</t>
  </si>
  <si>
    <t>Tiek nodrošināta ēdināšana 1 reizi dienā – pusdienas.  Ēdināšanas izmaksas visiem pakalpojumiem tiek nodrošinātas vienādā apmērā. Pārtika, samaksa par izdevumiem ēdināšanas nodrošināšanai, kā arī ēdināšanas pakalpojumi.</t>
  </si>
  <si>
    <r>
      <t>Pienākumi : (1) vadīt</t>
    </r>
    <r>
      <rPr>
        <sz val="11"/>
        <color indexed="8"/>
        <rFont val="Times New Roman"/>
        <family val="1"/>
        <charset val="186"/>
      </rPr>
      <t xml:space="preserve"> darbnīcas darbu; (2) pārraudzīt citu darbinieku darbu; (3) iesaistīties sarežģītu problēmu risināšanā.</t>
    </r>
  </si>
  <si>
    <t>7=5*6 darbinieki</t>
  </si>
  <si>
    <t>Izmaksas mēnesī               (par 16 klientiem)</t>
  </si>
  <si>
    <t>1.69 euro/dienā * 21 diena * 16 klienti = 567.84 euro/mēn. (par 16 klientiem)</t>
  </si>
  <si>
    <t>0.25 euro/dienā * 21 diena * 16 klienti = 84 euro/mēn. (par 16 klientiem)</t>
  </si>
  <si>
    <t>0.07 euro/dienā * 21 diena * 16 klienti = 23.52 euro/mēn.(par 16 klientiem)</t>
  </si>
  <si>
    <t>0.09 euro/dienā * 21 diena * 16 klienti = 30.24 euro/mēn. (par 16 klientiem)</t>
  </si>
  <si>
    <t>0.25 euro/dienā * 21 diena * 16 klienti = 84.00 euro/mēn. (par 16 klientiem)</t>
  </si>
  <si>
    <t>2.33 euro/dienā * 21 diena * 16 klienti = 782.88 euro/mēn. (par 16 klientiem)</t>
  </si>
  <si>
    <t>0.18 euro/dienā * 21 diena * 16 klienti = 60.48 euro/mēn. (par 16 klientiem)</t>
  </si>
  <si>
    <t>0.11 euro/dienā * 21 diena * 16 klienti = 36.96 euro/mēn. (par 16 klientiem)</t>
  </si>
  <si>
    <t>0.20 euro/dienā * 21 diena * 16 klienti = 67.20 euro/mēn. (par 16 klientiem)</t>
  </si>
  <si>
    <t>0.16 euro/dienā * 21 diena * 16 klienti = 53.76 euro/mēn. (par 16 klientiem)</t>
  </si>
  <si>
    <t>1.36 euro/dienā * 21 diena * 16 klienti = 457.58 euro/mēn. (par 16 klientiem)</t>
  </si>
  <si>
    <t>0.15 euro/dienā * 21 diena * 16 klienti = 50.40 euro/mēn. (par 16 klientiem)</t>
  </si>
  <si>
    <t>Mēnesī vidēji  21 darba diena, t.sk.  168 darba stundas. 
Atlīdzība (darba samaksa + VSAOI (DD soc. nod.)): darba alga speciālistiem un apkalpojošajam personālam, kas nodrošina pakalpojuma sniegšanu, ieskaitot VSAOI, sociālās garantijas un atvaļinājums.</t>
  </si>
  <si>
    <t>0.34 euro/dienā * 21 diena * 16 klienti = 114.24 euro/mēn. (par 16 klientiem)</t>
  </si>
  <si>
    <t>Informācija iegūta no pašvaldībām un pašvaldību pakalpojumu sniedzējiem (6 pakalpojumu sniedzējiem, kas veido 67 % no Sociālo pakalpojumu sniedzēju reģistrā reģistrētajām specializētajām darbnīcām pilngadīgām personām ar garīga rakstura  (kopā uz atlases brīdi bija reģistrēti 9 specializēto darbnīcu pakalpojumu sniedzēji), t.sk. Rīgas plānošanas reģions – nodibinājuma "Fonds KOPĀ" 1 SD Rīgā, biedrības "Rīgas pilsētas Rūpju bērns" 1 SD Rīgā, biedrības "PINS" 1 SD Rīgā; bērnu un jauniešu biedrības "Cerību spārni" 1 SD Siguldā, biedrības "Aicinājums Tev" 1 SD Siguldā, pašvaldības aģentūras "Jūrmalas sociālās aprūpes centrs" 1 SD Jūrmalā.
Sākotnēji informācija par specializēto darbnīcu pakalpojuma sniegšanas izmaksām tika pieprasīta no Sociālo pakalpojumu sniedzēju reģistrā reģistrētiem specializēto darbnīcu pakalpojuma sniedzējiem, kuriem ir reģistrēta klientu grupa - personas ar garīga rakstura traucējumiem un pilngadīgas personas vai visu vecumu personas. Informācija tika pieprasīta elektroniski un sazinoties pa telefonu. Vienas vienības standarta likmes aprēķinā izmantoti dati no specializēto darbnīcu pakalpojuma sniedzējiem, kuri atsaucās aicinājumam sniegt pieprasīto informāciju. Informācija par Biedrības "Cerību spārni" specializētās darbnīcas pakalpojumu izmaksām tika saņemta par 2015.g., jo 2014,.g pakalpojums vēl netika sniegts.</t>
  </si>
  <si>
    <t>4.7. pielikums</t>
  </si>
  <si>
    <t>4.6. pielikums</t>
  </si>
  <si>
    <t>4.5. pielikums</t>
  </si>
  <si>
    <t>4.4. pielikums</t>
  </si>
  <si>
    <t>4.3. pielikums</t>
  </si>
  <si>
    <t>4.2. pielikums</t>
  </si>
  <si>
    <t>Vidējās izmaksas aprēķinātas saskaņā ar 6 SD iesniegtajām izmaksu tāmēm par 2014., 2015. un 2016. gadu. Aprēķinu skat. 4.4. pielikumā</t>
  </si>
  <si>
    <t>Aprēķinu skat. 4.5. pielikumā</t>
  </si>
  <si>
    <t>Aprēķinu skat. 4.3. pielikumā</t>
  </si>
  <si>
    <t>Aprēķinu skat. 4.6. pielikumā.
Obligātās supervīzijas prasības sociālo pakalpojumu sniedzējiem noteiktas Ministru kabineta 2017. gada 13. jūnija noteikumu Nr. 338 9.2. apakšpunktā un 186. punktā.</t>
  </si>
  <si>
    <t>4.1. pielikums</t>
  </si>
  <si>
    <r>
      <t>Pakalpojuma "Specializētās darbnīcas" vienības izmaksu standarta likmes aprēķins</t>
    </r>
    <r>
      <rPr>
        <sz val="12"/>
        <rFont val="Arial"/>
        <family val="1"/>
        <charset val="186"/>
      </rPr>
      <t/>
    </r>
  </si>
  <si>
    <t>Veselības apdrošināšanas izmaksas gadā, euro [1]</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</si>
  <si>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t>
  </si>
  <si>
    <t>-</t>
  </si>
  <si>
    <t>Vidēji</t>
  </si>
  <si>
    <t xml:space="preserve">Vidēji (kopā) </t>
  </si>
  <si>
    <t>Atlīdzība [1]</t>
  </si>
  <si>
    <t>[1]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4.2. pielikumu).</t>
  </si>
  <si>
    <t>Supervīzijas cena vienam darbiniekam, euro/gadā [1]</t>
  </si>
  <si>
    <t xml:space="preserve">Darba laiks gadā [2] </t>
  </si>
  <si>
    <t>Vidējās supervīzijas izmaksas par darba stundu (divi darbinieki) [3]</t>
  </si>
  <si>
    <t>Sociālā darba speciālists [4]</t>
  </si>
  <si>
    <t>[1]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</si>
  <si>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[2]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</si>
  <si>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[3] Vidējās supervīzijas izmaksas darba stundā aprēķinātas četriem darbiniekiem, ņemot vērā, ka vienas vienības izmaksu standarta likmes aprēķinā pieņemts, ka pakalpojumu nodrošina četri darbinieki darbinieki, neieskaitot grāmatvedi (grāmatvedis neveic tiešu darbu ar klientu).</t>
  </si>
  <si>
    <t>[4] Sociālā darba speciālisti - sociālais darbinieks, sociālais rehabilitētājs un sociālais aprūpētājs.</t>
  </si>
  <si>
    <r>
      <t>6=5/252 darba dienas</t>
    </r>
    <r>
      <rPr>
        <sz val="11"/>
        <color indexed="8"/>
        <rFont val="Times New Roman"/>
        <family val="1"/>
        <charset val="186"/>
      </rPr>
      <t xml:space="preserve"> gadā</t>
    </r>
  </si>
  <si>
    <r>
      <t>1) 802
2) 802*25%=200.50
3) 802+200.50=1002.50
4) 1002.50*23.59%=236.49
5) 1002.50+236.49=1238.99
6) 1238.99*1 slodze=1238.99 euro/mēn.
7) 1238.99 / 16 klienti / 21 darba diena=</t>
    </r>
    <r>
      <rPr>
        <u/>
        <sz val="11"/>
        <color theme="1"/>
        <rFont val="Times New Roman"/>
        <family val="1"/>
        <charset val="186"/>
      </rPr>
      <t>3.69 euro/dienā (par 1 klientu)</t>
    </r>
  </si>
  <si>
    <t>Darbu vadītājs tiek pielīdzināts sociālajam rehabilitētājam, kas saskaņā ar MK 30.11.2010. noteikumiem Nr. 1075 klasificējas 39.saimē, IIB līmenī.  
Darba vadītājam saskaņā ar MK 29.01.2013. noteikumu Nr. 66 2. pielikumu attiecināma – 5. mēnešalgu grupa 3. maksimālā kateogorija. 
1) Darbu vadītāja atalgojums mēnesī 802 euro
Papildus darbu vadītājam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802 euro: 200.50 euro
3) Kopējā bruto atlīdzība: 802+200.50=1002.50 euro
4) Kopējā bruto atlīdzība+VSAOI 23.59%: 1002.50+236.49=1238.99 euro</t>
  </si>
  <si>
    <r>
      <t>1) 802
2) 802*25%=200.50
3) 802+200.50=1002.50
4) 1002.50*23.59%=236.49
5) 1002.50+236.49=1238.99
6) 1238.99*0.5 slodzes=619.50 euro/mēn.
7) 619.50 / 16 klienti / 21 darba diena=</t>
    </r>
    <r>
      <rPr>
        <u/>
        <sz val="11"/>
        <color theme="1"/>
        <rFont val="Times New Roman"/>
        <family val="1"/>
        <charset val="186"/>
      </rPr>
      <t>1.84 euro/dienā (par 1 klientu)</t>
    </r>
  </si>
  <si>
    <t>Sociālais rehabilitētājs saskaņā ar MK 30.11.2010. noteikumiem Nr. 1075 klasificējas 39.saimē, IIB līmenī.
Sociālajam rehabilitētājam saskaņā ar MK 29.01.2013. noteikumu Nr. 66 2. pielikumu attiecināma  – 5. mēnešalgu grupa 3. maksimālā kateogorija. 
1) Sociālā rehabilitētāja atalgojums mēnesī 802 euro
Papildus sociālajam rehabilitētājam saskaņā ar MK 29.01.2013. noteikumu Nr. 66 31. punktu tiek maksāta piemaksa līdz 25% apmērā no mēneša atalgojuma (jo amata pienākumi tiek pielīdzināti aprūpētāja darbam ilgstošas sociālās aprūpes un sociālās rehabilitācijas iestādē pilngadīgām personām).
2) Piemaksa 25% no 802 euro: 200.50 euro
3) Kopējā bruto atlīdzība: 802+200.50=1002.50 euro
4) Kopējā bruto atlīdzība+VSAOI 23.59%: 1002.50+236.49=1238.99 euro</t>
  </si>
  <si>
    <r>
      <t>1) 1093
2) 1093*25%=273.25
3) 1093+273.25=1366.25
4) 1366.25*23.59%=322.30
5) 1366.25+322.30=1688.55
6) 1688.55*0.5 slodzes=844.28
7) 844.28 / 16 klienti / 21 darba diena=</t>
    </r>
    <r>
      <rPr>
        <u/>
        <sz val="11"/>
        <color theme="1"/>
        <rFont val="Times New Roman"/>
        <family val="1"/>
        <charset val="186"/>
      </rPr>
      <t>2.51 euro/dienā (par 1 klientu)</t>
    </r>
  </si>
  <si>
    <t>Sociālais darbinieks saskaņā ar MK 30.11.2010. noteikumiem Nr. 1075 klasificējas 39.saimē, IIIA līmenī.
Sociālajam darbiniekam saskaņā ar MK 29.01.2013. noteikumu Nr. 66 2. pielikumu attiecināma – 8. mēnešalgu grupa 3. maksimālā kateogorija. 
1) Sociālajam darbiniekam atalgojums mēnesī: 1093 euro
Papildus sociālajam darbiniekam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1093 euro: 273.25 euro
3) Kopējā bruto atlīdzība:1093+273.25=1366.25 euro
4) Kopējā bruto atlīdzība+VSAOI 23.59%: 1366.25+322.30=1688.55 euro</t>
  </si>
  <si>
    <r>
      <t>1) 1287
2) 1287*23.59%=303.60
3) 1287+303.60=1590.60
4) 1590.60*0.5 slodzes=795.30
5) 795.30 / 16 klienti / 21 darba diena=</t>
    </r>
    <r>
      <rPr>
        <u/>
        <sz val="11"/>
        <color theme="1"/>
        <rFont val="Times New Roman"/>
        <family val="1"/>
        <charset val="186"/>
      </rPr>
      <t>2.37 euro/dienā (par 1 klientu)</t>
    </r>
  </si>
  <si>
    <t>Darbnīcas vadītājs saskaņā ar MK 30.11.2010. noteikumiem Nr. 1075 klasificējas 23.saimē, IV līmenī.
Darbnīcas vadītājam saskaņā ar MK 29.01.2013. noteikumu Nr. 66 2. pielikumu attiecināma – 10. mēnešalgu grupa 3. maksimālā kateogorija. 
1) Darbnīcas vadītāja atalgojums: 1287 euro
2) Kopējā bruto atlīdzība+VSAOI 23.59%: 1287+303.60=1590.60 euro
Darbnīcas vadītājs strādā mēnesī 0.5 slodzes:
2) 1590.60*0.5=795.30 euro/mēn.</t>
  </si>
  <si>
    <r>
      <t>1) 1190
2) 1190*23.59%=280.72
3) 1190+280.72=1470.72
4) 1470.72* 0.2 slodzes=294.14
5) 294.14 / 16 klieni / 21 darba diena=</t>
    </r>
    <r>
      <rPr>
        <u/>
        <sz val="11"/>
        <color theme="1"/>
        <rFont val="Times New Roman"/>
        <family val="1"/>
        <charset val="186"/>
      </rPr>
      <t>0.88 euro/dienā (par 1 klientu)</t>
    </r>
  </si>
  <si>
    <t xml:space="preserve">Vecākais grāmatvedis saskaņā ar MK 30.11.2010. noteikumiem Nr. 1075 klasificējas 14.saimē, IIIA līmenī.
Veccākajam grāmatvedim saskaņā ar MK 29.01.2013. noteikumu Nr. 66 2. pielikumu attiecināma – 9. mēnešalgu grupa 3. maksimālā kateogorija. 
1) Vecākā grāmatveža atalgojums: 1190 euro
2) Kopējā bruto atlīdzība+VSAOI 23.59%
1190+280.72=1470.72 euro
Grāmatvedis strādā mēnesī 0.2 slodzes:
3) 1470.72*0.2= 294.14 euro/mēn.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</si>
</sst>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charset val="186"/>
    </font>
    <font>
      <sz val="10"/>
      <name val="Arial"/>
      <family val="2"/>
      <charset val="186"/>
    </font>
    <font>
      <sz val="12"/>
      <name val="Times New Roman"/>
      <family val="1"/>
      <charset val="186"/>
    </font>
    <font>
      <sz val="11"/>
      <name val="Times New Roman"/>
      <family val="1"/>
      <charset val="186"/>
    </font>
    <font>
      <sz val="11"/>
      <color indexed="8"/>
      <name val="Times New Roman"/>
      <family val="1"/>
      <charset val="186"/>
    </font>
    <font>
      <b/>
      <sz val="11"/>
      <name val="Times New Roman"/>
      <family val="1"/>
      <charset val="186"/>
    </font>
    <font>
      <sz val="12"/>
      <name val="Arial"/>
      <family val="1"/>
      <charset val="186"/>
    </font>
    <font>
      <sz val="11"/>
      <name val="Times New Roman"/>
      <family val="1"/>
      <charset val="186"/>
    </font>
    <font>
      <b/>
      <sz val="11"/>
      <name val="Times New Roman"/>
      <family val="1"/>
      <charset val="186"/>
    </font>
    <font>
      <b/>
      <i/>
      <sz val="11"/>
      <name val="Times New Roman"/>
      <family val="1"/>
      <charset val="186"/>
    </font>
    <font>
      <i/>
      <sz val="11"/>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0"/>
      <color theme="1"/>
      <name val="Arial"/>
      <family val="2"/>
      <charset val="186"/>
    </font>
    <font>
      <sz val="11"/>
      <color rgb="FF000000"/>
      <name val="Times New Roman"/>
      <family val="1"/>
      <charset val="186"/>
    </font>
    <font>
      <i/>
      <sz val="11"/>
      <color theme="1"/>
      <name val="Times New Roman"/>
      <family val="1"/>
      <charset val="186"/>
    </font>
    <font>
      <strike/>
      <sz val="11"/>
      <color theme="1"/>
      <name val="Times New Roman"/>
      <family val="1"/>
      <charset val="186"/>
    </font>
    <font>
      <b/>
      <strike/>
      <sz val="11"/>
      <color theme="1"/>
      <name val="Times New Roman"/>
      <family val="1"/>
      <charset val="186"/>
    </font>
    <font>
      <b/>
      <strike/>
      <sz val="11"/>
      <name val="Times New Roman"/>
      <family val="1"/>
      <charset val="186"/>
    </font>
    <font>
      <u/>
      <sz val="11"/>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2">
    <xf numFmtId="0" fontId="0" fillId="0" borderId="0"/>
    <xf numFmtId="9" fontId="1" fillId="0" borderId="0" applyFont="0" applyFill="0" applyBorder="0" applyAlignment="0" applyProtection="0"/>
  </cellStyleXfs>
  <cellXfs count="168">
    <xf numFmtId="0" fontId="0" fillId="0" borderId="0" xfId="0"/>
    <xf numFmtId="0" fontId="2" fillId="0" borderId="0" xfId="0" applyFont="1"/>
    <xf numFmtId="0" fontId="3" fillId="0" borderId="0" xfId="0" applyFont="1"/>
    <xf numFmtId="0" fontId="3" fillId="0" borderId="1" xfId="0" applyFont="1" applyBorder="1" applyAlignment="1">
      <alignment vertical="center" wrapText="1"/>
    </xf>
    <xf numFmtId="0" fontId="3" fillId="0" borderId="0" xfId="0" applyFont="1" applyBorder="1"/>
    <xf numFmtId="0" fontId="13" fillId="0" borderId="0" xfId="0" applyFont="1"/>
    <xf numFmtId="1" fontId="13" fillId="2" borderId="1" xfId="0" applyNumberFormat="1" applyFont="1" applyFill="1" applyBorder="1" applyAlignment="1">
      <alignment horizontal="center" vertical="center"/>
    </xf>
    <xf numFmtId="1" fontId="13" fillId="2" borderId="1" xfId="0" applyNumberFormat="1" applyFont="1" applyFill="1" applyBorder="1" applyAlignment="1">
      <alignment horizontal="center" vertical="center" wrapText="1"/>
    </xf>
    <xf numFmtId="0" fontId="13" fillId="0" borderId="0" xfId="0" applyFont="1" applyBorder="1"/>
    <xf numFmtId="0" fontId="13" fillId="0" borderId="1" xfId="0" applyFont="1" applyBorder="1"/>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4" fontId="13" fillId="0" borderId="1" xfId="0" applyNumberFormat="1" applyFont="1" applyBorder="1" applyAlignment="1">
      <alignment horizontal="center" vertical="center"/>
    </xf>
    <xf numFmtId="0" fontId="13" fillId="0" borderId="0" xfId="0" applyFont="1" applyFill="1" applyBorder="1" applyAlignment="1">
      <alignment horizontal="center"/>
    </xf>
    <xf numFmtId="0" fontId="3" fillId="0" borderId="0" xfId="0" applyFont="1" applyAlignment="1">
      <alignment horizontal="right" shrinkToFit="1"/>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2" fontId="3" fillId="0" borderId="0" xfId="0" applyNumberFormat="1" applyFont="1" applyAlignment="1">
      <alignment wrapText="1"/>
    </xf>
    <xf numFmtId="4" fontId="3" fillId="0" borderId="0" xfId="0" applyNumberFormat="1" applyFont="1"/>
    <xf numFmtId="0" fontId="15" fillId="0" borderId="0" xfId="0" applyFont="1"/>
    <xf numFmtId="2" fontId="14" fillId="0" borderId="17" xfId="0" applyNumberFormat="1" applyFont="1" applyBorder="1" applyAlignment="1">
      <alignment horizontal="center" vertical="center"/>
    </xf>
    <xf numFmtId="2" fontId="14" fillId="0" borderId="18" xfId="0" applyNumberFormat="1" applyFont="1" applyBorder="1" applyAlignment="1">
      <alignment horizontal="center" vertical="center"/>
    </xf>
    <xf numFmtId="2" fontId="14" fillId="0" borderId="19" xfId="0" applyNumberFormat="1" applyFont="1" applyBorder="1" applyAlignment="1">
      <alignment horizontal="center" vertical="center"/>
    </xf>
    <xf numFmtId="0" fontId="14" fillId="0" borderId="0" xfId="0" applyFont="1" applyAlignment="1">
      <alignment wrapText="1"/>
    </xf>
    <xf numFmtId="4" fontId="13" fillId="0" borderId="1" xfId="0" applyNumberFormat="1" applyFont="1" applyBorder="1" applyAlignment="1">
      <alignment horizontal="center" vertical="center"/>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3" fillId="0" borderId="10" xfId="0" applyNumberFormat="1" applyFont="1" applyBorder="1" applyAlignment="1">
      <alignment horizontal="center" vertical="center"/>
    </xf>
    <xf numFmtId="0" fontId="14" fillId="0" borderId="1" xfId="0" applyFont="1" applyBorder="1" applyAlignment="1">
      <alignment horizontal="left" vertical="center" wrapText="1"/>
    </xf>
    <xf numFmtId="3" fontId="13" fillId="2"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1" xfId="0" applyNumberFormat="1" applyFont="1" applyBorder="1" applyAlignment="1">
      <alignment horizontal="center" vertical="center"/>
    </xf>
    <xf numFmtId="0" fontId="7" fillId="0" borderId="0" xfId="0" applyFont="1" applyAlignment="1">
      <alignment horizontal="right"/>
    </xf>
    <xf numFmtId="0" fontId="7" fillId="0" borderId="0" xfId="0" applyFont="1"/>
    <xf numFmtId="0" fontId="14" fillId="3" borderId="1" xfId="0" applyFont="1" applyFill="1" applyBorder="1" applyAlignment="1">
      <alignment horizontal="center" vertical="center" wrapText="1"/>
    </xf>
    <xf numFmtId="4" fontId="14" fillId="3" borderId="1" xfId="0" applyNumberFormat="1" applyFont="1" applyFill="1" applyBorder="1" applyAlignment="1">
      <alignment horizontal="center" vertical="center"/>
    </xf>
    <xf numFmtId="9" fontId="14" fillId="3" borderId="1" xfId="1"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0" fontId="13" fillId="0" borderId="1" xfId="1" applyNumberFormat="1" applyFont="1" applyBorder="1" applyAlignment="1">
      <alignment horizontal="center" vertical="center"/>
    </xf>
    <xf numFmtId="0" fontId="13" fillId="0" borderId="1" xfId="0" applyFont="1" applyBorder="1" applyAlignment="1">
      <alignment horizontal="left" vertical="center" wrapText="1"/>
    </xf>
    <xf numFmtId="2" fontId="7" fillId="0" borderId="0" xfId="0" applyNumberFormat="1" applyFont="1"/>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Border="1" applyAlignment="1">
      <alignment vertical="center" wrapText="1"/>
    </xf>
    <xf numFmtId="0" fontId="14" fillId="3" borderId="1" xfId="0" applyFont="1" applyFill="1" applyBorder="1" applyAlignment="1">
      <alignment horizontal="center" vertical="center"/>
    </xf>
    <xf numFmtId="9" fontId="14" fillId="3" borderId="1" xfId="1"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xf numFmtId="0" fontId="13" fillId="0" borderId="1" xfId="0" applyFont="1" applyBorder="1"/>
    <xf numFmtId="2" fontId="13"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7" fillId="0" borderId="1" xfId="0" applyFont="1" applyBorder="1" applyAlignment="1">
      <alignment wrapText="1"/>
    </xf>
    <xf numFmtId="0" fontId="13" fillId="2" borderId="1" xfId="0" applyFont="1" applyFill="1" applyBorder="1" applyAlignment="1">
      <alignment vertical="center" wrapText="1"/>
    </xf>
    <xf numFmtId="0" fontId="7" fillId="0" borderId="1" xfId="0" applyFont="1" applyBorder="1"/>
    <xf numFmtId="0" fontId="16" fillId="0" borderId="1" xfId="0" applyFont="1" applyBorder="1" applyAlignment="1">
      <alignment wrapText="1"/>
    </xf>
    <xf numFmtId="0" fontId="13" fillId="2" borderId="1" xfId="0" applyFont="1" applyFill="1" applyBorder="1"/>
    <xf numFmtId="2" fontId="13" fillId="2" borderId="1" xfId="0" applyNumberFormat="1" applyFont="1" applyFill="1" applyBorder="1" applyAlignment="1">
      <alignment horizontal="center" vertical="center"/>
    </xf>
    <xf numFmtId="0" fontId="14" fillId="3" borderId="1" xfId="0" applyFont="1" applyFill="1" applyBorder="1" applyAlignment="1">
      <alignment horizontal="right" wrapText="1"/>
    </xf>
    <xf numFmtId="0" fontId="14" fillId="3" borderId="1" xfId="0" applyFont="1" applyFill="1" applyBorder="1"/>
    <xf numFmtId="4" fontId="14" fillId="3" borderId="1" xfId="0" applyNumberFormat="1" applyFont="1" applyFill="1" applyBorder="1" applyAlignment="1">
      <alignment horizontal="center"/>
    </xf>
    <xf numFmtId="0" fontId="14" fillId="0" borderId="3" xfId="0" applyFont="1" applyFill="1" applyBorder="1"/>
    <xf numFmtId="0" fontId="14" fillId="0" borderId="11" xfId="0" applyFont="1" applyFill="1" applyBorder="1"/>
    <xf numFmtId="0" fontId="13" fillId="0" borderId="11" xfId="0" applyFont="1" applyFill="1" applyBorder="1"/>
    <xf numFmtId="0" fontId="13" fillId="0" borderId="0" xfId="0" applyFont="1" applyFill="1"/>
    <xf numFmtId="0" fontId="13" fillId="5" borderId="1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wrapText="1"/>
    </xf>
    <xf numFmtId="0" fontId="13" fillId="5" borderId="1" xfId="0" applyFont="1" applyFill="1" applyBorder="1" applyAlignment="1">
      <alignment horizontal="center" vertical="center"/>
    </xf>
    <xf numFmtId="164" fontId="14" fillId="0" borderId="1" xfId="0" applyNumberFormat="1" applyFont="1" applyBorder="1" applyAlignment="1">
      <alignment horizontal="center" vertical="center"/>
    </xf>
    <xf numFmtId="0" fontId="12" fillId="0" borderId="0" xfId="0" applyFont="1"/>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8" fillId="5" borderId="1" xfId="0" applyFont="1" applyFill="1" applyBorder="1" applyAlignment="1">
      <alignment horizontal="center" vertical="center"/>
    </xf>
    <xf numFmtId="4" fontId="18" fillId="0" borderId="1" xfId="0" applyNumberFormat="1" applyFont="1" applyBorder="1" applyAlignment="1">
      <alignment horizontal="center" vertical="center"/>
    </xf>
    <xf numFmtId="4" fontId="18" fillId="0" borderId="6" xfId="0" applyNumberFormat="1" applyFont="1" applyBorder="1" applyAlignment="1">
      <alignment horizontal="center" vertical="center"/>
    </xf>
    <xf numFmtId="4" fontId="19" fillId="0" borderId="7" xfId="0" applyNumberFormat="1" applyFont="1" applyBorder="1" applyAlignment="1">
      <alignment horizontal="center" vertical="center"/>
    </xf>
    <xf numFmtId="4" fontId="18" fillId="0" borderId="8" xfId="0" applyNumberFormat="1" applyFont="1" applyBorder="1" applyAlignment="1">
      <alignment horizontal="center" vertical="center"/>
    </xf>
    <xf numFmtId="4" fontId="18" fillId="0" borderId="9" xfId="0" applyNumberFormat="1" applyFont="1" applyBorder="1" applyAlignment="1">
      <alignment horizontal="center" vertical="center"/>
    </xf>
    <xf numFmtId="4" fontId="20" fillId="0" borderId="7" xfId="0" applyNumberFormat="1" applyFont="1" applyBorder="1" applyAlignment="1">
      <alignment horizontal="center" vertical="center"/>
    </xf>
    <xf numFmtId="4" fontId="13" fillId="0" borderId="1" xfId="0" applyNumberFormat="1" applyFont="1" applyBorder="1" applyAlignment="1">
      <alignment horizontal="right" vertical="center"/>
    </xf>
    <xf numFmtId="4" fontId="13" fillId="0" borderId="6" xfId="0" applyNumberFormat="1" applyFont="1" applyBorder="1" applyAlignment="1">
      <alignment horizontal="right" vertical="center"/>
    </xf>
    <xf numFmtId="4" fontId="14" fillId="0" borderId="7" xfId="0" applyNumberFormat="1" applyFont="1" applyBorder="1" applyAlignment="1">
      <alignment horizontal="right" vertical="center"/>
    </xf>
    <xf numFmtId="4" fontId="13" fillId="0" borderId="8" xfId="0" applyNumberFormat="1" applyFont="1" applyBorder="1" applyAlignment="1">
      <alignment horizontal="right" vertical="center"/>
    </xf>
    <xf numFmtId="4" fontId="13" fillId="0" borderId="9" xfId="0" applyNumberFormat="1" applyFont="1" applyBorder="1" applyAlignment="1">
      <alignment horizontal="right" vertical="center"/>
    </xf>
    <xf numFmtId="4" fontId="13" fillId="4" borderId="6" xfId="0" applyNumberFormat="1" applyFont="1" applyFill="1" applyBorder="1" applyAlignment="1">
      <alignment horizontal="right" vertical="center"/>
    </xf>
    <xf numFmtId="4" fontId="5" fillId="0" borderId="7" xfId="0" applyNumberFormat="1" applyFont="1" applyBorder="1" applyAlignment="1">
      <alignment horizontal="right" vertical="center"/>
    </xf>
    <xf numFmtId="4" fontId="13" fillId="4" borderId="1" xfId="0" applyNumberFormat="1" applyFont="1" applyFill="1" applyBorder="1" applyAlignment="1">
      <alignment horizontal="right" vertical="center"/>
    </xf>
    <xf numFmtId="0" fontId="13" fillId="0" borderId="5" xfId="0" applyFont="1" applyBorder="1" applyAlignment="1">
      <alignment horizontal="right"/>
    </xf>
    <xf numFmtId="0" fontId="13" fillId="0" borderId="1" xfId="0" applyFont="1" applyBorder="1" applyAlignment="1">
      <alignment horizontal="right"/>
    </xf>
    <xf numFmtId="2" fontId="13" fillId="0" borderId="1" xfId="0" applyNumberFormat="1" applyFont="1" applyBorder="1" applyAlignment="1">
      <alignment horizontal="right"/>
    </xf>
    <xf numFmtId="4" fontId="13" fillId="4" borderId="8" xfId="0" applyNumberFormat="1" applyFont="1" applyFill="1" applyBorder="1" applyAlignment="1">
      <alignment horizontal="right" vertical="center"/>
    </xf>
    <xf numFmtId="0" fontId="13" fillId="4" borderId="5" xfId="0" applyFont="1" applyFill="1" applyBorder="1" applyAlignment="1">
      <alignment horizontal="right"/>
    </xf>
    <xf numFmtId="0" fontId="13" fillId="4" borderId="1" xfId="0" applyFont="1" applyFill="1" applyBorder="1" applyAlignment="1">
      <alignment horizontal="right"/>
    </xf>
    <xf numFmtId="4" fontId="13" fillId="0" borderId="1" xfId="0" applyNumberFormat="1" applyFont="1" applyFill="1" applyBorder="1" applyAlignment="1">
      <alignment horizontal="right" vertical="center"/>
    </xf>
    <xf numFmtId="4" fontId="13" fillId="4" borderId="9" xfId="0" applyNumberFormat="1" applyFont="1" applyFill="1" applyBorder="1" applyAlignment="1">
      <alignment horizontal="right" vertical="center"/>
    </xf>
    <xf numFmtId="0" fontId="13" fillId="0" borderId="1" xfId="0" applyFont="1" applyBorder="1" applyAlignment="1">
      <alignment horizontal="left" vertical="center"/>
    </xf>
    <xf numFmtId="0" fontId="13" fillId="0" borderId="6"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4" fillId="0" borderId="0" xfId="0" applyFont="1" applyAlignment="1">
      <alignment horizontal="center"/>
    </xf>
    <xf numFmtId="0" fontId="12" fillId="0" borderId="2" xfId="0" applyFont="1" applyBorder="1" applyAlignment="1">
      <alignment horizontal="left" vertical="center" wrapText="1"/>
    </xf>
    <xf numFmtId="0" fontId="12" fillId="0" borderId="10" xfId="0" applyFont="1" applyBorder="1" applyAlignment="1">
      <alignment horizontal="left" vertical="center" wrapText="1"/>
    </xf>
    <xf numFmtId="0" fontId="10" fillId="0" borderId="0" xfId="0" applyFont="1" applyAlignment="1">
      <alignment horizontal="right" vertical="center"/>
    </xf>
    <xf numFmtId="0" fontId="11" fillId="0" borderId="0" xfId="0" applyFont="1" applyAlignment="1">
      <alignment horizontal="right" vertical="center"/>
    </xf>
    <xf numFmtId="0" fontId="1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7" fillId="5" borderId="14" xfId="0" applyFont="1" applyFill="1" applyBorder="1" applyAlignment="1">
      <alignment horizontal="center" vertical="center"/>
    </xf>
    <xf numFmtId="0" fontId="14" fillId="0" borderId="15" xfId="0" applyFont="1" applyBorder="1" applyAlignment="1">
      <alignment horizontal="center" vertical="center" wrapText="1"/>
    </xf>
    <xf numFmtId="0" fontId="13" fillId="0" borderId="0" xfId="0" applyFont="1" applyFill="1" applyBorder="1" applyAlignment="1">
      <alignment horizontal="left" vertical="center" wrapText="1"/>
    </xf>
    <xf numFmtId="0" fontId="14" fillId="0" borderId="0" xfId="0" applyFont="1" applyAlignment="1">
      <alignment horizontal="center" vertical="center" wrapText="1"/>
    </xf>
    <xf numFmtId="0" fontId="17" fillId="0" borderId="0" xfId="0" applyFont="1" applyAlignment="1">
      <alignment horizontal="right" vertical="center"/>
    </xf>
    <xf numFmtId="0" fontId="14" fillId="3" borderId="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1"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3" fillId="2" borderId="3" xfId="0" applyFont="1" applyFill="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2" fontId="3" fillId="0" borderId="6" xfId="0" applyNumberFormat="1" applyFont="1" applyBorder="1" applyAlignment="1">
      <alignment horizontal="left" vertical="center" wrapText="1"/>
    </xf>
    <xf numFmtId="2" fontId="3" fillId="0" borderId="8" xfId="0" applyNumberFormat="1" applyFont="1" applyBorder="1" applyAlignment="1">
      <alignment horizontal="left" vertical="center" wrapText="1"/>
    </xf>
    <xf numFmtId="2" fontId="5" fillId="0" borderId="6" xfId="0" applyNumberFormat="1" applyFont="1" applyBorder="1" applyAlignment="1">
      <alignment horizontal="left" vertical="center" wrapText="1"/>
    </xf>
    <xf numFmtId="2" fontId="5" fillId="0" borderId="8" xfId="0" applyNumberFormat="1" applyFont="1" applyBorder="1" applyAlignment="1">
      <alignment horizontal="left" vertical="center" wrapText="1"/>
    </xf>
    <xf numFmtId="0" fontId="5" fillId="0" borderId="0" xfId="0" applyFont="1" applyAlignment="1">
      <alignment horizontal="center" wrapText="1"/>
    </xf>
    <xf numFmtId="0" fontId="10" fillId="0" borderId="0" xfId="0" applyFont="1" applyAlignment="1">
      <alignment horizontal="right" vertical="center" shrinkToFit="1"/>
    </xf>
    <xf numFmtId="0" fontId="3" fillId="0" borderId="6" xfId="0" applyFont="1" applyBorder="1" applyAlignment="1">
      <alignment horizontal="left" vertical="center"/>
    </xf>
    <xf numFmtId="0" fontId="3" fillId="0" borderId="8" xfId="0" applyFont="1" applyBorder="1" applyAlignment="1">
      <alignment horizontal="left" vertical="center"/>
    </xf>
    <xf numFmtId="0" fontId="17" fillId="0" borderId="0" xfId="0" applyFont="1" applyAlignment="1">
      <alignment horizontal="right"/>
    </xf>
    <xf numFmtId="0" fontId="13" fillId="0" borderId="0" xfId="0" applyFont="1" applyAlignment="1">
      <alignment horizontal="left" vertical="center"/>
    </xf>
    <xf numFmtId="4" fontId="13" fillId="0" borderId="2" xfId="0" applyNumberFormat="1" applyFont="1" applyBorder="1" applyAlignment="1">
      <alignment horizontal="center" vertical="center"/>
    </xf>
    <xf numFmtId="4" fontId="13" fillId="0" borderId="10"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3" fillId="0" borderId="10" xfId="0" applyNumberFormat="1" applyFont="1" applyBorder="1" applyAlignment="1">
      <alignment horizontal="center" vertical="center"/>
    </xf>
    <xf numFmtId="0" fontId="13" fillId="0" borderId="0" xfId="0" applyFont="1" applyFill="1" applyAlignment="1">
      <alignment horizontal="left" vertical="center" wrapText="1"/>
    </xf>
    <xf numFmtId="3" fontId="13" fillId="0" borderId="1" xfId="0" applyNumberFormat="1" applyFont="1" applyBorder="1" applyAlignment="1">
      <alignment horizontal="center" vertical="center"/>
    </xf>
    <xf numFmtId="0" fontId="13" fillId="0" borderId="6" xfId="0" applyFont="1" applyBorder="1" applyAlignment="1">
      <alignment horizontal="justify" vertical="center" wrapText="1"/>
    </xf>
    <xf numFmtId="0" fontId="13" fillId="0" borderId="8" xfId="0"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33F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rtūrs Pētersons" id="{F9AFC50A-3BAB-4052-88B8-10F67376B1C2}" userId="Artūrs Pēterson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7" dT="2021-04-20T12:53:26.07" personId="{F9AFC50A-3BAB-4052-88B8-10F67376B1C2}" id="{5F0DFBA7-C3B5-40B6-A811-579642AEB039}">
    <text>Vai šai amatu pozīcijai netiek maksāta piemaksa līdz 25 % apmērā no mēneša atalgojuma?</text>
  </threadedComment>
  <threadedComment ref="G7" dT="2021-04-21T12:24:14.24" personId="{F9AFC50A-3BAB-4052-88B8-10F67376B1C2}" id="{5AFD0904-5BAB-4A1C-8B05-84358469E9B8}" parentId="{5F0DFBA7-C3B5-40B6-A811-579642AEB039}">
    <text>CFLA:
CFLA:
Skaidrojam, ka piemakas tiek rēķinātas no BRUTO atlīdzības. Ņemot vērā minēto lūdzam precizēt norādīto informāciju šeit un visos pārējos pielikumos, piemēram:
1) Aprūpētāja atalgojums mēnesī - 608 euro;
2) Piemaksa 25% apmērā no atalgojuma - 152 euro;;
3) Kopējā BRUTO atlīdzība - 760 euro
4) Kopējā BRUTO atlīdzība ieskaitot DD VSAOI 23.59% - 939.29 euro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90" zoomScaleNormal="90" workbookViewId="0">
      <selection sqref="A1:B1"/>
    </sheetView>
  </sheetViews>
  <sheetFormatPr defaultColWidth="9.1796875" defaultRowHeight="14" x14ac:dyDescent="0.3"/>
  <cols>
    <col min="1" max="1" width="13" style="87" customWidth="1"/>
    <col min="2" max="2" width="70.26953125" style="87" customWidth="1"/>
    <col min="3" max="16384" width="9.1796875" style="87"/>
  </cols>
  <sheetData>
    <row r="1" spans="1:2" x14ac:dyDescent="0.3">
      <c r="A1" s="122" t="s">
        <v>122</v>
      </c>
      <c r="B1" s="123"/>
    </row>
    <row r="2" spans="1:2" x14ac:dyDescent="0.3">
      <c r="A2" s="119" t="s">
        <v>78</v>
      </c>
      <c r="B2" s="119"/>
    </row>
    <row r="3" spans="1:2" ht="28" x14ac:dyDescent="0.3">
      <c r="A3" s="88" t="s">
        <v>35</v>
      </c>
      <c r="B3" s="89" t="s">
        <v>36</v>
      </c>
    </row>
    <row r="4" spans="1:2" ht="181.5" customHeight="1" x14ac:dyDescent="0.3">
      <c r="A4" s="88" t="s">
        <v>37</v>
      </c>
      <c r="B4" s="90" t="s">
        <v>76</v>
      </c>
    </row>
    <row r="5" spans="1:2" ht="28" x14ac:dyDescent="0.3">
      <c r="A5" s="120" t="s">
        <v>38</v>
      </c>
      <c r="B5" s="89" t="s">
        <v>39</v>
      </c>
    </row>
    <row r="6" spans="1:2" ht="42" x14ac:dyDescent="0.3">
      <c r="A6" s="121"/>
      <c r="B6" s="89" t="s">
        <v>77</v>
      </c>
    </row>
  </sheetData>
  <mergeCells count="3">
    <mergeCell ref="A2:B2"/>
    <mergeCell ref="A5:A6"/>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7"/>
  <sheetViews>
    <sheetView zoomScale="70" zoomScaleNormal="70" workbookViewId="0">
      <selection sqref="A1:H1"/>
    </sheetView>
  </sheetViews>
  <sheetFormatPr defaultColWidth="9.1796875" defaultRowHeight="14" x14ac:dyDescent="0.3"/>
  <cols>
    <col min="1" max="1" width="31.7265625" style="44" customWidth="1"/>
    <col min="2" max="2" width="9.1796875" style="44"/>
    <col min="3" max="3" width="11.453125" style="44" customWidth="1"/>
    <col min="4" max="4" width="10.1796875" style="44" bestFit="1" customWidth="1"/>
    <col min="5" max="5" width="10.7265625" style="44" bestFit="1" customWidth="1"/>
    <col min="6" max="6" width="36.81640625" style="44" customWidth="1"/>
    <col min="7" max="7" width="48.453125" style="44" customWidth="1"/>
    <col min="8" max="8" width="62.81640625" style="44" customWidth="1"/>
    <col min="9" max="16384" width="9.1796875" style="44"/>
  </cols>
  <sheetData>
    <row r="1" spans="1:11" x14ac:dyDescent="0.3">
      <c r="A1" s="122" t="s">
        <v>117</v>
      </c>
      <c r="B1" s="122"/>
      <c r="C1" s="122"/>
      <c r="D1" s="122"/>
      <c r="E1" s="122"/>
      <c r="F1" s="122"/>
      <c r="G1" s="122"/>
      <c r="H1" s="122"/>
      <c r="I1" s="43"/>
    </row>
    <row r="2" spans="1:11" x14ac:dyDescent="0.3">
      <c r="A2" s="130" t="s">
        <v>123</v>
      </c>
      <c r="B2" s="130"/>
      <c r="C2" s="130"/>
      <c r="D2" s="130"/>
      <c r="E2" s="130"/>
      <c r="F2" s="130"/>
      <c r="G2" s="130"/>
      <c r="H2" s="130"/>
    </row>
    <row r="3" spans="1:11" ht="56" x14ac:dyDescent="0.3">
      <c r="A3" s="129"/>
      <c r="B3" s="128" t="s">
        <v>46</v>
      </c>
      <c r="C3" s="91" t="s">
        <v>96</v>
      </c>
      <c r="D3" s="128" t="s">
        <v>2</v>
      </c>
      <c r="E3" s="128"/>
      <c r="F3" s="128" t="s">
        <v>1</v>
      </c>
      <c r="G3" s="127" t="s">
        <v>3</v>
      </c>
      <c r="H3" s="127" t="s">
        <v>21</v>
      </c>
    </row>
    <row r="4" spans="1:11" x14ac:dyDescent="0.3">
      <c r="A4" s="129"/>
      <c r="B4" s="128"/>
      <c r="C4" s="92" t="s">
        <v>50</v>
      </c>
      <c r="D4" s="92" t="s">
        <v>50</v>
      </c>
      <c r="E4" s="93" t="s">
        <v>0</v>
      </c>
      <c r="F4" s="128"/>
      <c r="G4" s="127"/>
      <c r="H4" s="127"/>
    </row>
    <row r="5" spans="1:11" ht="70" x14ac:dyDescent="0.3">
      <c r="A5" s="45" t="s">
        <v>9</v>
      </c>
      <c r="B5" s="45">
        <f>SUM(B6:B10)</f>
        <v>2.7</v>
      </c>
      <c r="C5" s="46">
        <f>SUM(C6:C10)</f>
        <v>3792.2099999999996</v>
      </c>
      <c r="D5" s="46">
        <f>SUM(D6:D10)</f>
        <v>11.290000000000001</v>
      </c>
      <c r="E5" s="47">
        <f>D5/D$25</f>
        <v>0.61120029568802525</v>
      </c>
      <c r="F5" s="45"/>
      <c r="G5" s="48" t="s">
        <v>109</v>
      </c>
      <c r="H5" s="49"/>
    </row>
    <row r="6" spans="1:11" ht="252" x14ac:dyDescent="0.3">
      <c r="A6" s="50" t="s">
        <v>31</v>
      </c>
      <c r="B6" s="51">
        <v>1</v>
      </c>
      <c r="C6" s="51">
        <v>1238.99</v>
      </c>
      <c r="D6" s="52">
        <f>ROUND(C6/21/16,2)</f>
        <v>3.69</v>
      </c>
      <c r="E6" s="53">
        <f>D6/D$25</f>
        <v>0.1997634270229241</v>
      </c>
      <c r="F6" s="117" t="s">
        <v>140</v>
      </c>
      <c r="G6" s="59" t="s">
        <v>141</v>
      </c>
      <c r="H6" s="54" t="s">
        <v>89</v>
      </c>
      <c r="I6" s="55"/>
      <c r="J6" s="55"/>
    </row>
    <row r="7" spans="1:11" ht="244.5" customHeight="1" x14ac:dyDescent="0.3">
      <c r="A7" s="50" t="s">
        <v>32</v>
      </c>
      <c r="B7" s="51">
        <v>0.5</v>
      </c>
      <c r="C7" s="52">
        <f>ROUND(1238.99*B7,2)</f>
        <v>619.5</v>
      </c>
      <c r="D7" s="52">
        <f>ROUND(C7/21/16,2)</f>
        <v>1.84</v>
      </c>
      <c r="E7" s="53">
        <f t="shared" ref="E7:E25" si="0">D7/D$25</f>
        <v>9.9611031361024491E-2</v>
      </c>
      <c r="F7" s="117" t="s">
        <v>142</v>
      </c>
      <c r="G7" s="59" t="s">
        <v>143</v>
      </c>
      <c r="H7" s="56" t="s">
        <v>58</v>
      </c>
      <c r="I7" s="55"/>
      <c r="J7" s="55"/>
    </row>
    <row r="8" spans="1:11" ht="238" x14ac:dyDescent="0.3">
      <c r="A8" s="57" t="s">
        <v>30</v>
      </c>
      <c r="B8" s="51">
        <v>0.5</v>
      </c>
      <c r="C8" s="51">
        <f>ROUND(1688.55*B8,2)</f>
        <v>844.28</v>
      </c>
      <c r="D8" s="52">
        <f>ROUND(C8/21/16,2)</f>
        <v>2.5099999999999998</v>
      </c>
      <c r="E8" s="53">
        <f t="shared" si="0"/>
        <v>0.13588243951965839</v>
      </c>
      <c r="F8" s="117" t="s">
        <v>144</v>
      </c>
      <c r="G8" s="59" t="s">
        <v>145</v>
      </c>
      <c r="H8" s="54" t="s">
        <v>59</v>
      </c>
      <c r="I8" s="55"/>
      <c r="J8" s="55"/>
      <c r="K8" s="55"/>
    </row>
    <row r="9" spans="1:11" ht="154" x14ac:dyDescent="0.3">
      <c r="A9" s="57" t="s">
        <v>45</v>
      </c>
      <c r="B9" s="58">
        <v>0.5</v>
      </c>
      <c r="C9" s="73">
        <f>ROUND(1590.6*B9,2)</f>
        <v>795.3</v>
      </c>
      <c r="D9" s="52">
        <f>ROUND(C9/21/16,2)</f>
        <v>2.37</v>
      </c>
      <c r="E9" s="53">
        <f t="shared" si="0"/>
        <v>0.12830333930740653</v>
      </c>
      <c r="F9" s="118" t="s">
        <v>146</v>
      </c>
      <c r="G9" s="59" t="s">
        <v>147</v>
      </c>
      <c r="H9" s="59" t="s">
        <v>94</v>
      </c>
      <c r="I9" s="55"/>
      <c r="J9" s="55"/>
      <c r="K9" s="55"/>
    </row>
    <row r="10" spans="1:11" ht="154" x14ac:dyDescent="0.3">
      <c r="A10" s="57" t="s">
        <v>20</v>
      </c>
      <c r="B10" s="58">
        <v>0.2</v>
      </c>
      <c r="C10" s="58">
        <f>ROUND(1470.72*B10,2)</f>
        <v>294.14</v>
      </c>
      <c r="D10" s="52">
        <f>ROUND(C10/21/16,2)</f>
        <v>0.88</v>
      </c>
      <c r="E10" s="53">
        <f t="shared" si="0"/>
        <v>4.7640058477011707E-2</v>
      </c>
      <c r="F10" s="118" t="s">
        <v>148</v>
      </c>
      <c r="G10" s="90" t="s">
        <v>149</v>
      </c>
      <c r="H10" s="60" t="s">
        <v>65</v>
      </c>
      <c r="I10" s="55"/>
      <c r="J10" s="55"/>
      <c r="K10" s="55"/>
    </row>
    <row r="11" spans="1:11" ht="56" x14ac:dyDescent="0.3">
      <c r="A11" s="45" t="s">
        <v>22</v>
      </c>
      <c r="B11" s="61"/>
      <c r="C11" s="46">
        <f>SUM(C12:C24)</f>
        <v>2413.1015000000007</v>
      </c>
      <c r="D11" s="46">
        <f>SUM(D12:D24)</f>
        <v>7.1818497023809531</v>
      </c>
      <c r="E11" s="62">
        <f t="shared" si="0"/>
        <v>0.38879970431197469</v>
      </c>
      <c r="F11" s="63"/>
      <c r="G11" s="64"/>
      <c r="H11" s="64"/>
    </row>
    <row r="12" spans="1:11" ht="56" x14ac:dyDescent="0.3">
      <c r="A12" s="60" t="str">
        <f>'4.4. pielikums'!B7</f>
        <v>Ēdināšanas izdevumi</v>
      </c>
      <c r="B12" s="65"/>
      <c r="C12" s="66">
        <f>21*16*D12</f>
        <v>567.84</v>
      </c>
      <c r="D12" s="66">
        <f>'4.4. pielikums'!W7</f>
        <v>1.69</v>
      </c>
      <c r="E12" s="53">
        <f t="shared" si="0"/>
        <v>9.1490566847897484E-2</v>
      </c>
      <c r="F12" s="67" t="s">
        <v>97</v>
      </c>
      <c r="G12" s="124" t="s">
        <v>118</v>
      </c>
      <c r="H12" s="68" t="s">
        <v>93</v>
      </c>
    </row>
    <row r="13" spans="1:11" ht="30" customHeight="1" x14ac:dyDescent="0.3">
      <c r="A13" s="60" t="str">
        <f>'4.4. pielikums'!B9</f>
        <v>Mācību materiāli un līdzekļi</v>
      </c>
      <c r="B13" s="65"/>
      <c r="C13" s="52">
        <f t="shared" ref="C13:C24" si="1">21*16*D13</f>
        <v>84</v>
      </c>
      <c r="D13" s="52">
        <f>'4.4. pielikums'!W9</f>
        <v>0.25</v>
      </c>
      <c r="E13" s="53">
        <f t="shared" si="0"/>
        <v>1.3534107521878327E-2</v>
      </c>
      <c r="F13" s="69" t="s">
        <v>98</v>
      </c>
      <c r="G13" s="125"/>
      <c r="H13" s="70" t="s">
        <v>49</v>
      </c>
    </row>
    <row r="14" spans="1:11" ht="28" x14ac:dyDescent="0.3">
      <c r="A14" s="60" t="str">
        <f>'4.4. pielikums'!B10</f>
        <v>Kancelejas un biroja preces</v>
      </c>
      <c r="B14" s="65"/>
      <c r="C14" s="52">
        <f t="shared" si="1"/>
        <v>23.520000000000003</v>
      </c>
      <c r="D14" s="52">
        <f>'4.4. pielikums'!W10</f>
        <v>7.0000000000000007E-2</v>
      </c>
      <c r="E14" s="53">
        <f t="shared" si="0"/>
        <v>3.7895501061259319E-3</v>
      </c>
      <c r="F14" s="69" t="s">
        <v>99</v>
      </c>
      <c r="G14" s="125"/>
      <c r="H14" s="70"/>
    </row>
    <row r="15" spans="1:11" ht="28" x14ac:dyDescent="0.3">
      <c r="A15" s="60" t="str">
        <f>'4.4. pielikums'!B8</f>
        <v>Saimniecības un higiēnas preces</v>
      </c>
      <c r="B15" s="65"/>
      <c r="C15" s="66">
        <f t="shared" si="1"/>
        <v>30.24</v>
      </c>
      <c r="D15" s="66">
        <f>'4.4. pielikums'!W8</f>
        <v>0.09</v>
      </c>
      <c r="E15" s="53">
        <f t="shared" si="0"/>
        <v>4.8722787078761976E-3</v>
      </c>
      <c r="F15" s="67" t="s">
        <v>100</v>
      </c>
      <c r="G15" s="125"/>
      <c r="H15" s="70"/>
    </row>
    <row r="16" spans="1:11" ht="28" x14ac:dyDescent="0.3">
      <c r="A16" s="60" t="s">
        <v>8</v>
      </c>
      <c r="B16" s="65"/>
      <c r="C16" s="66">
        <f t="shared" si="1"/>
        <v>84</v>
      </c>
      <c r="D16" s="66">
        <f>'4.4. pielikums'!W11</f>
        <v>0.25</v>
      </c>
      <c r="E16" s="53">
        <f t="shared" si="0"/>
        <v>1.3534107521878327E-2</v>
      </c>
      <c r="F16" s="67" t="s">
        <v>101</v>
      </c>
      <c r="G16" s="125"/>
      <c r="H16" s="70"/>
    </row>
    <row r="17" spans="1:8" ht="56" x14ac:dyDescent="0.3">
      <c r="A17" s="60" t="str">
        <f>'4.4. pielikums'!B12</f>
        <v>Telpas (īre, komunālie maksājumi, uzturēšanas pasākumi)</v>
      </c>
      <c r="B17" s="65"/>
      <c r="C17" s="66">
        <f t="shared" si="1"/>
        <v>782.88</v>
      </c>
      <c r="D17" s="66">
        <f>'4.4. pielikums'!W12</f>
        <v>2.33</v>
      </c>
      <c r="E17" s="53">
        <f t="shared" si="0"/>
        <v>0.126137882103906</v>
      </c>
      <c r="F17" s="67" t="s">
        <v>102</v>
      </c>
      <c r="G17" s="125"/>
      <c r="H17" s="71" t="s">
        <v>47</v>
      </c>
    </row>
    <row r="18" spans="1:8" ht="28" x14ac:dyDescent="0.3">
      <c r="A18" s="60" t="str">
        <f>'4.4. pielikums'!B6</f>
        <v>Sakaru pakalpojumi (telefons, internets, pasts)</v>
      </c>
      <c r="B18" s="65"/>
      <c r="C18" s="52">
        <f t="shared" si="1"/>
        <v>60.48</v>
      </c>
      <c r="D18" s="52">
        <f>'4.4. pielikums'!W6</f>
        <v>0.18</v>
      </c>
      <c r="E18" s="53">
        <f t="shared" si="0"/>
        <v>9.7445574157523952E-3</v>
      </c>
      <c r="F18" s="69" t="s">
        <v>103</v>
      </c>
      <c r="G18" s="125"/>
      <c r="H18" s="70"/>
    </row>
    <row r="19" spans="1:8" ht="42" x14ac:dyDescent="0.3">
      <c r="A19" s="60" t="str">
        <f>'4.4. pielikums'!B15</f>
        <v>Ar admin.darbību saistītie izdevumi (darba aizsardz.sist.uzturēš.pak., bankas konta apkalp. u.c.)</v>
      </c>
      <c r="B19" s="65"/>
      <c r="C19" s="52">
        <f t="shared" si="1"/>
        <v>36.96</v>
      </c>
      <c r="D19" s="52">
        <f>'4.4. pielikums'!W15</f>
        <v>0.11</v>
      </c>
      <c r="E19" s="53">
        <f t="shared" si="0"/>
        <v>5.9550073096264634E-3</v>
      </c>
      <c r="F19" s="69" t="s">
        <v>104</v>
      </c>
      <c r="G19" s="125"/>
      <c r="H19" s="70"/>
    </row>
    <row r="20" spans="1:8" ht="28" x14ac:dyDescent="0.3">
      <c r="A20" s="60" t="str">
        <f>'4.4. pielikums'!B14</f>
        <v>Darbinieku izglītības izdevumi</v>
      </c>
      <c r="B20" s="65"/>
      <c r="C20" s="52">
        <f t="shared" si="1"/>
        <v>67.2</v>
      </c>
      <c r="D20" s="52">
        <f>'4.4. pielikums'!W14</f>
        <v>0.2</v>
      </c>
      <c r="E20" s="53">
        <f t="shared" si="0"/>
        <v>1.0827286017502663E-2</v>
      </c>
      <c r="F20" s="69" t="s">
        <v>105</v>
      </c>
      <c r="G20" s="125"/>
      <c r="H20" s="70"/>
    </row>
    <row r="21" spans="1:8" ht="28" x14ac:dyDescent="0.3">
      <c r="A21" s="60" t="str">
        <f>'4.4. pielikums'!B17</f>
        <v>Inventārs, iekārtu remonts (materiāli un pakalpojums)</v>
      </c>
      <c r="B21" s="65"/>
      <c r="C21" s="52">
        <f t="shared" si="1"/>
        <v>53.76</v>
      </c>
      <c r="D21" s="52">
        <f>'4.4. pielikums'!W17</f>
        <v>0.16</v>
      </c>
      <c r="E21" s="53">
        <f t="shared" si="0"/>
        <v>8.6618288140021295E-3</v>
      </c>
      <c r="F21" s="69" t="s">
        <v>106</v>
      </c>
      <c r="G21" s="126"/>
      <c r="H21" s="70"/>
    </row>
    <row r="22" spans="1:8" ht="28" x14ac:dyDescent="0.3">
      <c r="A22" s="60" t="s">
        <v>73</v>
      </c>
      <c r="B22" s="65"/>
      <c r="C22" s="52">
        <f>21*16*D22</f>
        <v>457.58150000000001</v>
      </c>
      <c r="D22" s="52">
        <f>'4.5. pielikums'!C12</f>
        <v>1.3618497023809524</v>
      </c>
      <c r="E22" s="53">
        <f t="shared" si="0"/>
        <v>7.3725681202647234E-2</v>
      </c>
      <c r="F22" s="69" t="s">
        <v>107</v>
      </c>
      <c r="G22" s="69" t="s">
        <v>119</v>
      </c>
      <c r="H22" s="70"/>
    </row>
    <row r="23" spans="1:8" ht="28" x14ac:dyDescent="0.3">
      <c r="A23" s="69" t="s">
        <v>55</v>
      </c>
      <c r="B23" s="72"/>
      <c r="C23" s="52">
        <f t="shared" si="1"/>
        <v>50.4</v>
      </c>
      <c r="D23" s="73">
        <f>'4.3. pielikums'!F10</f>
        <v>0.15</v>
      </c>
      <c r="E23" s="53">
        <f t="shared" si="0"/>
        <v>8.1204645131269949E-3</v>
      </c>
      <c r="F23" s="69" t="s">
        <v>108</v>
      </c>
      <c r="G23" s="69" t="s">
        <v>120</v>
      </c>
      <c r="H23" s="70"/>
    </row>
    <row r="24" spans="1:8" ht="70" x14ac:dyDescent="0.3">
      <c r="A24" s="69" t="s">
        <v>70</v>
      </c>
      <c r="B24" s="72"/>
      <c r="C24" s="52">
        <f t="shared" si="1"/>
        <v>114.24000000000001</v>
      </c>
      <c r="D24" s="66">
        <f>'4.6. pielikums'!G6</f>
        <v>0.34</v>
      </c>
      <c r="E24" s="53">
        <f t="shared" si="0"/>
        <v>1.8406386229754525E-2</v>
      </c>
      <c r="F24" s="69" t="s">
        <v>110</v>
      </c>
      <c r="G24" s="69" t="s">
        <v>121</v>
      </c>
      <c r="H24" s="70"/>
    </row>
    <row r="25" spans="1:8" x14ac:dyDescent="0.3">
      <c r="A25" s="74" t="s">
        <v>91</v>
      </c>
      <c r="B25" s="75"/>
      <c r="C25" s="76">
        <f>C11+C5</f>
        <v>6205.3114999999998</v>
      </c>
      <c r="D25" s="76">
        <f>D11+D5</f>
        <v>18.471849702380954</v>
      </c>
      <c r="E25" s="62">
        <f t="shared" si="0"/>
        <v>1</v>
      </c>
      <c r="F25" s="77"/>
      <c r="G25" s="78"/>
      <c r="H25" s="78"/>
    </row>
    <row r="26" spans="1:8" x14ac:dyDescent="0.3">
      <c r="D26" s="55"/>
    </row>
    <row r="27" spans="1:8" x14ac:dyDescent="0.3">
      <c r="D27" s="55"/>
    </row>
  </sheetData>
  <mergeCells count="9">
    <mergeCell ref="G12:G21"/>
    <mergeCell ref="A1:H1"/>
    <mergeCell ref="H3:H4"/>
    <mergeCell ref="G3:G4"/>
    <mergeCell ref="B3:B4"/>
    <mergeCell ref="D3:E3"/>
    <mergeCell ref="F3:F4"/>
    <mergeCell ref="A3:A4"/>
    <mergeCell ref="A2:H2"/>
  </mergeCells>
  <pageMargins left="0.70866141732283472" right="0.70866141732283472" top="0.74803149606299213" bottom="0.74803149606299213"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90" zoomScaleNormal="90" workbookViewId="0">
      <selection sqref="A1:F1"/>
    </sheetView>
  </sheetViews>
  <sheetFormatPr defaultColWidth="9.1796875" defaultRowHeight="14" x14ac:dyDescent="0.3"/>
  <cols>
    <col min="1" max="1" width="33.81640625" style="5" customWidth="1"/>
    <col min="2" max="2" width="14.453125" style="5" customWidth="1"/>
    <col min="3" max="3" width="12.26953125" style="5" customWidth="1"/>
    <col min="4" max="4" width="14.7265625" style="5" customWidth="1"/>
    <col min="5" max="5" width="14.453125" style="5" customWidth="1"/>
    <col min="6" max="6" width="23.1796875" style="5" customWidth="1"/>
    <col min="7" max="16384" width="9.1796875" style="5"/>
  </cols>
  <sheetData>
    <row r="1" spans="1:12" x14ac:dyDescent="0.3">
      <c r="A1" s="133" t="s">
        <v>116</v>
      </c>
      <c r="B1" s="133"/>
      <c r="C1" s="133"/>
      <c r="D1" s="133"/>
      <c r="E1" s="133"/>
      <c r="F1" s="133"/>
    </row>
    <row r="2" spans="1:12" x14ac:dyDescent="0.3">
      <c r="A2" s="132" t="s">
        <v>52</v>
      </c>
      <c r="B2" s="132"/>
      <c r="C2" s="132"/>
      <c r="D2" s="132"/>
      <c r="E2" s="132"/>
      <c r="F2" s="132"/>
    </row>
    <row r="3" spans="1:12" ht="70" x14ac:dyDescent="0.3">
      <c r="A3" s="85" t="s">
        <v>4</v>
      </c>
      <c r="B3" s="83" t="s">
        <v>81</v>
      </c>
      <c r="C3" s="83" t="s">
        <v>10</v>
      </c>
      <c r="D3" s="83" t="s">
        <v>124</v>
      </c>
      <c r="E3" s="83" t="s">
        <v>80</v>
      </c>
      <c r="F3" s="83" t="s">
        <v>79</v>
      </c>
    </row>
    <row r="4" spans="1:12" x14ac:dyDescent="0.3">
      <c r="A4" s="6">
        <v>1</v>
      </c>
      <c r="B4" s="6">
        <v>2</v>
      </c>
      <c r="C4" s="6">
        <v>3</v>
      </c>
      <c r="D4" s="7" t="s">
        <v>53</v>
      </c>
      <c r="E4" s="6" t="s">
        <v>54</v>
      </c>
      <c r="F4" s="7" t="s">
        <v>139</v>
      </c>
    </row>
    <row r="5" spans="1:12" x14ac:dyDescent="0.3">
      <c r="A5" s="134" t="s">
        <v>13</v>
      </c>
      <c r="B5" s="135"/>
      <c r="C5" s="135"/>
      <c r="D5" s="135"/>
      <c r="E5" s="135"/>
      <c r="F5" s="136"/>
    </row>
    <row r="6" spans="1:12" ht="14.25" customHeight="1" x14ac:dyDescent="0.3">
      <c r="A6" s="36" t="s">
        <v>56</v>
      </c>
      <c r="B6" s="40">
        <v>16</v>
      </c>
      <c r="C6" s="34">
        <f>'4.2. pielikums'!B6+'4.2. pielikums'!B7</f>
        <v>1.5</v>
      </c>
      <c r="D6" s="32">
        <f>ROUND(C6*213.43,2)</f>
        <v>320.14999999999998</v>
      </c>
      <c r="E6" s="35">
        <f>ROUND(D6/B6,2)</f>
        <v>20.010000000000002</v>
      </c>
      <c r="F6" s="35">
        <f>ROUND(E6/252,2)</f>
        <v>0.08</v>
      </c>
    </row>
    <row r="7" spans="1:12" x14ac:dyDescent="0.3">
      <c r="A7" s="36" t="s">
        <v>5</v>
      </c>
      <c r="B7" s="40">
        <v>16</v>
      </c>
      <c r="C7" s="34">
        <f>'4.2. pielikums'!B8</f>
        <v>0.5</v>
      </c>
      <c r="D7" s="32">
        <f>ROUND(C7*213.43,2)</f>
        <v>106.72</v>
      </c>
      <c r="E7" s="35">
        <f>ROUND(D7/B7,2)</f>
        <v>6.67</v>
      </c>
      <c r="F7" s="35">
        <f>ROUND(E7/252,2)</f>
        <v>0.03</v>
      </c>
    </row>
    <row r="8" spans="1:12" x14ac:dyDescent="0.3">
      <c r="A8" s="37" t="s">
        <v>57</v>
      </c>
      <c r="B8" s="40">
        <v>16</v>
      </c>
      <c r="C8" s="34">
        <f>'4.2. pielikums'!B9</f>
        <v>0.5</v>
      </c>
      <c r="D8" s="32">
        <f>ROUND(C8*213.43,2)</f>
        <v>106.72</v>
      </c>
      <c r="E8" s="35">
        <f>ROUND(D8/B8,2)</f>
        <v>6.67</v>
      </c>
      <c r="F8" s="35">
        <f>ROUND(E8/252,2)</f>
        <v>0.03</v>
      </c>
    </row>
    <row r="9" spans="1:12" x14ac:dyDescent="0.3">
      <c r="A9" s="37" t="s">
        <v>12</v>
      </c>
      <c r="B9" s="40">
        <v>16</v>
      </c>
      <c r="C9" s="34">
        <f>'4.2. pielikums'!B10</f>
        <v>0.2</v>
      </c>
      <c r="D9" s="32">
        <f>ROUND(C9*213.43,2)</f>
        <v>42.69</v>
      </c>
      <c r="E9" s="35">
        <f>ROUND(D9/B9,2)</f>
        <v>2.67</v>
      </c>
      <c r="F9" s="35">
        <f>ROUND(E9/252,2)</f>
        <v>0.01</v>
      </c>
      <c r="L9" s="8"/>
    </row>
    <row r="10" spans="1:12" x14ac:dyDescent="0.3">
      <c r="A10" s="39" t="s">
        <v>91</v>
      </c>
      <c r="B10" s="41">
        <f>AVERAGE(B6:B9)</f>
        <v>16</v>
      </c>
      <c r="C10" s="86">
        <f>SUM(C6:C9)</f>
        <v>2.7</v>
      </c>
      <c r="D10" s="42">
        <f>ROUND(SUM(D6:D9),2)</f>
        <v>576.28</v>
      </c>
      <c r="E10" s="42">
        <f>ROUND(SUM(E6:E9),2)</f>
        <v>36.020000000000003</v>
      </c>
      <c r="F10" s="42">
        <f>ROUND(SUM(F6:F9),2)</f>
        <v>0.15</v>
      </c>
      <c r="L10" s="8"/>
    </row>
    <row r="11" spans="1:12" x14ac:dyDescent="0.3">
      <c r="A11" s="79"/>
      <c r="B11" s="79"/>
      <c r="C11" s="79"/>
      <c r="D11" s="79"/>
      <c r="E11" s="79"/>
      <c r="F11" s="79"/>
      <c r="L11" s="8"/>
    </row>
    <row r="12" spans="1:12" ht="120" customHeight="1" x14ac:dyDescent="0.3">
      <c r="A12" s="131" t="s">
        <v>125</v>
      </c>
      <c r="B12" s="131"/>
      <c r="C12" s="131"/>
      <c r="D12" s="131"/>
      <c r="E12" s="131"/>
      <c r="F12" s="131"/>
      <c r="L12" s="8"/>
    </row>
    <row r="13" spans="1:12" x14ac:dyDescent="0.3">
      <c r="A13" s="80"/>
      <c r="B13" s="80"/>
      <c r="C13" s="80"/>
      <c r="D13" s="80"/>
      <c r="E13" s="80"/>
      <c r="F13" s="80"/>
      <c r="L13" s="8"/>
    </row>
    <row r="14" spans="1:12" x14ac:dyDescent="0.3">
      <c r="A14" s="80"/>
      <c r="B14" s="80"/>
      <c r="C14" s="80"/>
      <c r="D14" s="80"/>
      <c r="E14" s="80"/>
      <c r="F14" s="80"/>
      <c r="L14" s="8"/>
    </row>
    <row r="15" spans="1:12" x14ac:dyDescent="0.3">
      <c r="L15" s="8"/>
    </row>
  </sheetData>
  <mergeCells count="4">
    <mergeCell ref="A12:F12"/>
    <mergeCell ref="A2:F2"/>
    <mergeCell ref="A1:F1"/>
    <mergeCell ref="A5:F5"/>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0"/>
  <sheetViews>
    <sheetView zoomScale="80" zoomScaleNormal="80" workbookViewId="0">
      <selection sqref="A1:W1"/>
    </sheetView>
  </sheetViews>
  <sheetFormatPr defaultColWidth="9.1796875" defaultRowHeight="14" x14ac:dyDescent="0.3"/>
  <cols>
    <col min="1" max="1" width="4.1796875" style="2" customWidth="1"/>
    <col min="2" max="2" width="30.08984375" style="2" customWidth="1"/>
    <col min="3" max="3" width="7.1796875" style="2" customWidth="1"/>
    <col min="4" max="4" width="7.26953125" style="2" customWidth="1"/>
    <col min="5" max="5" width="6.54296875" style="2" customWidth="1"/>
    <col min="6" max="6" width="6.453125" style="2" customWidth="1"/>
    <col min="7" max="7" width="7.1796875" style="2" customWidth="1"/>
    <col min="8" max="8" width="8.7265625" style="2" customWidth="1"/>
    <col min="9" max="9" width="6.453125" style="2" customWidth="1"/>
    <col min="10" max="11" width="6.54296875" style="2" customWidth="1"/>
    <col min="12" max="13" width="6" style="2" customWidth="1"/>
    <col min="14" max="14" width="6.1796875" style="2" customWidth="1"/>
    <col min="15" max="15" width="8.7265625" style="2" customWidth="1"/>
    <col min="16" max="21" width="6.1796875" style="2" customWidth="1"/>
    <col min="22" max="22" width="8.7265625" style="2" customWidth="1"/>
    <col min="23" max="23" width="9.81640625" style="2" customWidth="1"/>
    <col min="24" max="16384" width="9.1796875" style="2"/>
  </cols>
  <sheetData>
    <row r="1" spans="1:23" x14ac:dyDescent="0.3">
      <c r="A1" s="122" t="s">
        <v>115</v>
      </c>
      <c r="B1" s="122"/>
      <c r="C1" s="122"/>
      <c r="D1" s="122"/>
      <c r="E1" s="122"/>
      <c r="F1" s="122"/>
      <c r="G1" s="122"/>
      <c r="H1" s="122"/>
      <c r="I1" s="122"/>
      <c r="J1" s="122"/>
      <c r="K1" s="122"/>
      <c r="L1" s="122"/>
      <c r="M1" s="122"/>
      <c r="N1" s="122"/>
      <c r="O1" s="122"/>
      <c r="P1" s="122"/>
      <c r="Q1" s="122"/>
      <c r="R1" s="122"/>
      <c r="S1" s="122"/>
      <c r="T1" s="122"/>
      <c r="U1" s="122"/>
      <c r="V1" s="122"/>
      <c r="W1" s="122"/>
    </row>
    <row r="2" spans="1:23" ht="14.5" thickBot="1" x14ac:dyDescent="0.35">
      <c r="A2" s="137" t="s">
        <v>29</v>
      </c>
      <c r="B2" s="137"/>
      <c r="C2" s="137"/>
      <c r="D2" s="137"/>
      <c r="E2" s="137"/>
      <c r="F2" s="137"/>
      <c r="G2" s="137"/>
      <c r="H2" s="137"/>
      <c r="I2" s="137"/>
      <c r="J2" s="137"/>
      <c r="K2" s="137"/>
      <c r="L2" s="137"/>
      <c r="M2" s="137"/>
      <c r="N2" s="137"/>
      <c r="O2" s="137"/>
      <c r="P2" s="137"/>
      <c r="Q2" s="137"/>
      <c r="R2" s="137"/>
      <c r="S2" s="137"/>
      <c r="T2" s="137"/>
      <c r="U2" s="137"/>
      <c r="V2" s="137"/>
      <c r="W2" s="137"/>
    </row>
    <row r="3" spans="1:23" ht="14.5" thickBot="1" x14ac:dyDescent="0.35">
      <c r="A3" s="140" t="s">
        <v>63</v>
      </c>
      <c r="B3" s="141" t="s">
        <v>23</v>
      </c>
      <c r="C3" s="142" t="s">
        <v>83</v>
      </c>
      <c r="D3" s="143"/>
      <c r="E3" s="143"/>
      <c r="F3" s="143"/>
      <c r="G3" s="143"/>
      <c r="H3" s="144"/>
      <c r="I3" s="142" t="s">
        <v>82</v>
      </c>
      <c r="J3" s="143"/>
      <c r="K3" s="143"/>
      <c r="L3" s="143"/>
      <c r="M3" s="143"/>
      <c r="N3" s="143"/>
      <c r="O3" s="144"/>
      <c r="P3" s="147" t="s">
        <v>84</v>
      </c>
      <c r="Q3" s="148"/>
      <c r="R3" s="148"/>
      <c r="S3" s="148"/>
      <c r="T3" s="148"/>
      <c r="U3" s="148"/>
      <c r="V3" s="149"/>
      <c r="W3" s="145" t="s">
        <v>128</v>
      </c>
    </row>
    <row r="4" spans="1:23" x14ac:dyDescent="0.3">
      <c r="A4" s="140"/>
      <c r="B4" s="141"/>
      <c r="C4" s="13" t="s">
        <v>14</v>
      </c>
      <c r="D4" s="13" t="s">
        <v>15</v>
      </c>
      <c r="E4" s="13" t="s">
        <v>16</v>
      </c>
      <c r="F4" s="13" t="s">
        <v>17</v>
      </c>
      <c r="G4" s="14" t="s">
        <v>18</v>
      </c>
      <c r="H4" s="81" t="s">
        <v>127</v>
      </c>
      <c r="I4" s="15" t="s">
        <v>14</v>
      </c>
      <c r="J4" s="13" t="s">
        <v>15</v>
      </c>
      <c r="K4" s="13" t="s">
        <v>16</v>
      </c>
      <c r="L4" s="13" t="s">
        <v>17</v>
      </c>
      <c r="M4" s="13" t="s">
        <v>18</v>
      </c>
      <c r="N4" s="13" t="s">
        <v>19</v>
      </c>
      <c r="O4" s="81" t="s">
        <v>127</v>
      </c>
      <c r="P4" s="16" t="s">
        <v>14</v>
      </c>
      <c r="Q4" s="12" t="s">
        <v>15</v>
      </c>
      <c r="R4" s="12" t="s">
        <v>16</v>
      </c>
      <c r="S4" s="12" t="s">
        <v>17</v>
      </c>
      <c r="T4" s="12" t="s">
        <v>18</v>
      </c>
      <c r="U4" s="17" t="s">
        <v>19</v>
      </c>
      <c r="V4" s="81" t="s">
        <v>127</v>
      </c>
      <c r="W4" s="146"/>
    </row>
    <row r="5" spans="1:23" ht="14" customHeight="1" x14ac:dyDescent="0.3">
      <c r="A5" s="11">
        <v>1</v>
      </c>
      <c r="B5" s="54" t="s">
        <v>129</v>
      </c>
      <c r="C5" s="94">
        <v>9.56</v>
      </c>
      <c r="D5" s="94">
        <v>6.12</v>
      </c>
      <c r="E5" s="94">
        <v>8.7899999999999991</v>
      </c>
      <c r="F5" s="94">
        <v>7.806</v>
      </c>
      <c r="G5" s="95">
        <v>5.67</v>
      </c>
      <c r="H5" s="96">
        <f>ROUND(AVERAGE(C5:G5),2)</f>
        <v>7.59</v>
      </c>
      <c r="I5" s="97">
        <v>9.56</v>
      </c>
      <c r="J5" s="94">
        <v>6.12</v>
      </c>
      <c r="K5" s="94">
        <v>8.7899999999999991</v>
      </c>
      <c r="L5" s="94">
        <v>8.3800000000000008</v>
      </c>
      <c r="M5" s="94">
        <v>5.59</v>
      </c>
      <c r="N5" s="94">
        <v>9</v>
      </c>
      <c r="O5" s="96">
        <f t="shared" ref="O5:O17" si="0">ROUND(AVERAGE(I5:N5),2)</f>
        <v>7.91</v>
      </c>
      <c r="P5" s="98">
        <v>9.56</v>
      </c>
      <c r="Q5" s="94">
        <v>6.12</v>
      </c>
      <c r="R5" s="94">
        <v>8.7899999999999991</v>
      </c>
      <c r="S5" s="94">
        <v>16.25</v>
      </c>
      <c r="T5" s="94">
        <v>5.59</v>
      </c>
      <c r="U5" s="95">
        <v>9.86</v>
      </c>
      <c r="V5" s="96">
        <f>ROUND(AVERAGE(P5:U5),2)</f>
        <v>9.36</v>
      </c>
      <c r="W5" s="99">
        <f>ROUND((H5+O5+V5)/3,2)</f>
        <v>8.2899999999999991</v>
      </c>
    </row>
    <row r="6" spans="1:23" ht="28" customHeight="1" x14ac:dyDescent="0.3">
      <c r="A6" s="11">
        <v>2</v>
      </c>
      <c r="B6" s="54" t="s">
        <v>11</v>
      </c>
      <c r="C6" s="100">
        <v>7.0000000000000007E-2</v>
      </c>
      <c r="D6" s="100">
        <v>0.14000000000000001</v>
      </c>
      <c r="E6" s="100">
        <v>0.05</v>
      </c>
      <c r="F6" s="100">
        <v>6.3E-2</v>
      </c>
      <c r="G6" s="101">
        <v>0.52</v>
      </c>
      <c r="H6" s="102">
        <f t="shared" ref="H6:H17" si="1">ROUND(AVERAGE(C6:G6),2)</f>
        <v>0.17</v>
      </c>
      <c r="I6" s="103">
        <v>7.0000000000000007E-2</v>
      </c>
      <c r="J6" s="100">
        <v>0.14000000000000001</v>
      </c>
      <c r="K6" s="100">
        <v>0.05</v>
      </c>
      <c r="L6" s="100">
        <v>3.5000000000000003E-2</v>
      </c>
      <c r="M6" s="100">
        <v>0.52</v>
      </c>
      <c r="N6" s="100">
        <v>0.3</v>
      </c>
      <c r="O6" s="102">
        <f t="shared" si="0"/>
        <v>0.19</v>
      </c>
      <c r="P6" s="104">
        <v>7.0000000000000007E-2</v>
      </c>
      <c r="Q6" s="100">
        <v>0.14000000000000001</v>
      </c>
      <c r="R6" s="100">
        <v>0.05</v>
      </c>
      <c r="S6" s="100">
        <v>0.05</v>
      </c>
      <c r="T6" s="100">
        <v>0.52</v>
      </c>
      <c r="U6" s="105" t="s">
        <v>126</v>
      </c>
      <c r="V6" s="102">
        <f t="shared" ref="V6:V17" si="2">ROUND(AVERAGE(P6:U6),2)</f>
        <v>0.17</v>
      </c>
      <c r="W6" s="106">
        <f t="shared" ref="W6:W17" si="3">ROUND((H6+O6+V6)/3,2)</f>
        <v>0.18</v>
      </c>
    </row>
    <row r="7" spans="1:23" ht="14" customHeight="1" x14ac:dyDescent="0.3">
      <c r="A7" s="11">
        <v>3</v>
      </c>
      <c r="B7" s="116" t="s">
        <v>92</v>
      </c>
      <c r="C7" s="100">
        <v>2.13</v>
      </c>
      <c r="D7" s="100">
        <v>1.84</v>
      </c>
      <c r="E7" s="100">
        <v>1.88</v>
      </c>
      <c r="F7" s="100">
        <v>1.708</v>
      </c>
      <c r="G7" s="101">
        <v>1.3</v>
      </c>
      <c r="H7" s="102">
        <f t="shared" si="1"/>
        <v>1.77</v>
      </c>
      <c r="I7" s="103">
        <v>2.13</v>
      </c>
      <c r="J7" s="100">
        <v>1.84</v>
      </c>
      <c r="K7" s="100">
        <v>1.88</v>
      </c>
      <c r="L7" s="100">
        <v>1.7070000000000001</v>
      </c>
      <c r="M7" s="100">
        <v>1.2</v>
      </c>
      <c r="N7" s="100">
        <v>1.6</v>
      </c>
      <c r="O7" s="102">
        <f t="shared" si="0"/>
        <v>1.73</v>
      </c>
      <c r="P7" s="104">
        <v>2.13</v>
      </c>
      <c r="Q7" s="100">
        <v>1.84</v>
      </c>
      <c r="R7" s="100">
        <v>1.88</v>
      </c>
      <c r="S7" s="100">
        <v>1.48</v>
      </c>
      <c r="T7" s="100">
        <v>1.2</v>
      </c>
      <c r="U7" s="101">
        <v>0.94</v>
      </c>
      <c r="V7" s="102">
        <f t="shared" si="2"/>
        <v>1.58</v>
      </c>
      <c r="W7" s="106">
        <f t="shared" si="3"/>
        <v>1.69</v>
      </c>
    </row>
    <row r="8" spans="1:23" ht="14" customHeight="1" x14ac:dyDescent="0.3">
      <c r="A8" s="11">
        <v>4</v>
      </c>
      <c r="B8" s="54" t="s">
        <v>7</v>
      </c>
      <c r="C8" s="100">
        <v>0.04</v>
      </c>
      <c r="D8" s="100">
        <v>0.04</v>
      </c>
      <c r="E8" s="100">
        <v>7.0000000000000007E-2</v>
      </c>
      <c r="F8" s="100">
        <v>5.5E-2</v>
      </c>
      <c r="G8" s="101">
        <v>0.24</v>
      </c>
      <c r="H8" s="102">
        <f t="shared" si="1"/>
        <v>0.09</v>
      </c>
      <c r="I8" s="103">
        <v>0.04</v>
      </c>
      <c r="J8" s="100">
        <v>0.04</v>
      </c>
      <c r="K8" s="100">
        <v>7.0000000000000007E-2</v>
      </c>
      <c r="L8" s="100">
        <v>5.5E-2</v>
      </c>
      <c r="M8" s="100">
        <v>0.24</v>
      </c>
      <c r="N8" s="100">
        <v>0.18</v>
      </c>
      <c r="O8" s="102">
        <f t="shared" si="0"/>
        <v>0.1</v>
      </c>
      <c r="P8" s="104">
        <v>0.04</v>
      </c>
      <c r="Q8" s="100">
        <v>0.04</v>
      </c>
      <c r="R8" s="100">
        <v>7.0000000000000007E-2</v>
      </c>
      <c r="S8" s="100">
        <v>0.06</v>
      </c>
      <c r="T8" s="100">
        <v>0.24</v>
      </c>
      <c r="U8" s="105" t="s">
        <v>126</v>
      </c>
      <c r="V8" s="102">
        <f t="shared" si="2"/>
        <v>0.09</v>
      </c>
      <c r="W8" s="106">
        <f t="shared" si="3"/>
        <v>0.09</v>
      </c>
    </row>
    <row r="9" spans="1:23" ht="14" customHeight="1" x14ac:dyDescent="0.3">
      <c r="A9" s="11">
        <v>5</v>
      </c>
      <c r="B9" s="54" t="s">
        <v>6</v>
      </c>
      <c r="C9" s="100">
        <v>0.27</v>
      </c>
      <c r="D9" s="100">
        <v>0.43</v>
      </c>
      <c r="E9" s="100">
        <v>0.15</v>
      </c>
      <c r="F9" s="100">
        <v>0.159</v>
      </c>
      <c r="G9" s="101">
        <v>0.19</v>
      </c>
      <c r="H9" s="102">
        <f t="shared" si="1"/>
        <v>0.24</v>
      </c>
      <c r="I9" s="103">
        <v>0.27</v>
      </c>
      <c r="J9" s="100">
        <v>0.43</v>
      </c>
      <c r="K9" s="100">
        <v>0.15</v>
      </c>
      <c r="L9" s="100">
        <v>0.17699999999999999</v>
      </c>
      <c r="M9" s="100">
        <v>0.19</v>
      </c>
      <c r="N9" s="100">
        <v>0.3</v>
      </c>
      <c r="O9" s="102">
        <f t="shared" si="0"/>
        <v>0.25</v>
      </c>
      <c r="P9" s="104">
        <v>0.27</v>
      </c>
      <c r="Q9" s="100">
        <v>0.43</v>
      </c>
      <c r="R9" s="100">
        <v>0.15</v>
      </c>
      <c r="S9" s="100">
        <v>0.26</v>
      </c>
      <c r="T9" s="100">
        <v>0.19</v>
      </c>
      <c r="U9" s="105" t="s">
        <v>126</v>
      </c>
      <c r="V9" s="102">
        <f t="shared" si="2"/>
        <v>0.26</v>
      </c>
      <c r="W9" s="106">
        <f t="shared" si="3"/>
        <v>0.25</v>
      </c>
    </row>
    <row r="10" spans="1:23" ht="14" customHeight="1" x14ac:dyDescent="0.3">
      <c r="A10" s="11">
        <v>6</v>
      </c>
      <c r="B10" s="54" t="s">
        <v>48</v>
      </c>
      <c r="C10" s="100">
        <v>0.04</v>
      </c>
      <c r="D10" s="100">
        <v>0.02</v>
      </c>
      <c r="E10" s="100">
        <v>0.1</v>
      </c>
      <c r="F10" s="100">
        <v>2.5999999999999999E-2</v>
      </c>
      <c r="G10" s="101">
        <v>0.11</v>
      </c>
      <c r="H10" s="102">
        <f t="shared" si="1"/>
        <v>0.06</v>
      </c>
      <c r="I10" s="103">
        <v>0.04</v>
      </c>
      <c r="J10" s="100">
        <v>0.02</v>
      </c>
      <c r="K10" s="100">
        <v>0.1</v>
      </c>
      <c r="L10" s="100">
        <v>2.5999999999999999E-2</v>
      </c>
      <c r="M10" s="100">
        <v>0.11</v>
      </c>
      <c r="N10" s="100">
        <v>0.16</v>
      </c>
      <c r="O10" s="102">
        <f t="shared" si="0"/>
        <v>0.08</v>
      </c>
      <c r="P10" s="104">
        <v>0.04</v>
      </c>
      <c r="Q10" s="100">
        <v>0.02</v>
      </c>
      <c r="R10" s="100">
        <v>0.1</v>
      </c>
      <c r="S10" s="100">
        <v>0.04</v>
      </c>
      <c r="T10" s="100">
        <v>0.11</v>
      </c>
      <c r="U10" s="105" t="s">
        <v>126</v>
      </c>
      <c r="V10" s="102">
        <f t="shared" si="2"/>
        <v>0.06</v>
      </c>
      <c r="W10" s="106">
        <f t="shared" si="3"/>
        <v>7.0000000000000007E-2</v>
      </c>
    </row>
    <row r="11" spans="1:23" ht="28" customHeight="1" x14ac:dyDescent="0.3">
      <c r="A11" s="11">
        <v>7</v>
      </c>
      <c r="B11" s="54" t="s">
        <v>24</v>
      </c>
      <c r="C11" s="100">
        <v>0.18</v>
      </c>
      <c r="D11" s="100">
        <v>0.46</v>
      </c>
      <c r="E11" s="100">
        <v>0.15</v>
      </c>
      <c r="F11" s="107" t="s">
        <v>126</v>
      </c>
      <c r="G11" s="101">
        <v>0.11</v>
      </c>
      <c r="H11" s="102">
        <f t="shared" si="1"/>
        <v>0.23</v>
      </c>
      <c r="I11" s="103">
        <v>0.18</v>
      </c>
      <c r="J11" s="100">
        <v>0.46</v>
      </c>
      <c r="K11" s="100">
        <v>0.15</v>
      </c>
      <c r="L11" s="107" t="s">
        <v>126</v>
      </c>
      <c r="M11" s="100">
        <v>0.11</v>
      </c>
      <c r="N11" s="100">
        <v>0.62</v>
      </c>
      <c r="O11" s="102">
        <f t="shared" si="0"/>
        <v>0.3</v>
      </c>
      <c r="P11" s="104">
        <v>0.18</v>
      </c>
      <c r="Q11" s="100">
        <v>0.46</v>
      </c>
      <c r="R11" s="100">
        <v>0.15</v>
      </c>
      <c r="S11" s="107" t="s">
        <v>126</v>
      </c>
      <c r="T11" s="100">
        <v>0.11</v>
      </c>
      <c r="U11" s="105" t="s">
        <v>126</v>
      </c>
      <c r="V11" s="102">
        <f t="shared" si="2"/>
        <v>0.23</v>
      </c>
      <c r="W11" s="106">
        <f t="shared" si="3"/>
        <v>0.25</v>
      </c>
    </row>
    <row r="12" spans="1:23" ht="28" customHeight="1" x14ac:dyDescent="0.3">
      <c r="A12" s="11">
        <v>8</v>
      </c>
      <c r="B12" s="54" t="s">
        <v>25</v>
      </c>
      <c r="C12" s="100">
        <v>1.1399999999999999</v>
      </c>
      <c r="D12" s="100">
        <v>4.3600000000000003</v>
      </c>
      <c r="E12" s="100">
        <v>1.97</v>
      </c>
      <c r="F12" s="100">
        <v>1.623</v>
      </c>
      <c r="G12" s="101">
        <v>2.83</v>
      </c>
      <c r="H12" s="102">
        <f t="shared" si="1"/>
        <v>2.38</v>
      </c>
      <c r="I12" s="103">
        <v>1.1399999999999999</v>
      </c>
      <c r="J12" s="100">
        <v>4.3600000000000003</v>
      </c>
      <c r="K12" s="100">
        <v>1.97</v>
      </c>
      <c r="L12" s="100">
        <v>1.425</v>
      </c>
      <c r="M12" s="100">
        <v>2.84</v>
      </c>
      <c r="N12" s="100">
        <v>1.5</v>
      </c>
      <c r="O12" s="102">
        <f t="shared" si="0"/>
        <v>2.21</v>
      </c>
      <c r="P12" s="104">
        <v>1.1399999999999999</v>
      </c>
      <c r="Q12" s="100">
        <v>4.3600000000000003</v>
      </c>
      <c r="R12" s="100">
        <v>1.97</v>
      </c>
      <c r="S12" s="100">
        <v>1.74</v>
      </c>
      <c r="T12" s="100">
        <v>2.84</v>
      </c>
      <c r="U12" s="105" t="s">
        <v>126</v>
      </c>
      <c r="V12" s="102">
        <f t="shared" si="2"/>
        <v>2.41</v>
      </c>
      <c r="W12" s="106">
        <f t="shared" si="3"/>
        <v>2.33</v>
      </c>
    </row>
    <row r="13" spans="1:23" ht="28" customHeight="1" x14ac:dyDescent="0.3">
      <c r="A13" s="11">
        <v>9</v>
      </c>
      <c r="B13" s="54" t="s">
        <v>26</v>
      </c>
      <c r="C13" s="100">
        <v>0.02</v>
      </c>
      <c r="D13" s="100">
        <v>0.01</v>
      </c>
      <c r="E13" s="100">
        <v>0.1</v>
      </c>
      <c r="F13" s="100">
        <v>2.4769999999999999</v>
      </c>
      <c r="G13" s="105" t="s">
        <v>126</v>
      </c>
      <c r="H13" s="102">
        <f t="shared" si="1"/>
        <v>0.65</v>
      </c>
      <c r="I13" s="103">
        <v>0.02</v>
      </c>
      <c r="J13" s="100">
        <v>0.01</v>
      </c>
      <c r="K13" s="100">
        <v>0.1</v>
      </c>
      <c r="L13" s="100">
        <v>2.8050000000000002</v>
      </c>
      <c r="M13" s="107" t="s">
        <v>126</v>
      </c>
      <c r="N13" s="107" t="s">
        <v>126</v>
      </c>
      <c r="O13" s="102">
        <f t="shared" si="0"/>
        <v>0.73</v>
      </c>
      <c r="P13" s="108">
        <v>0.02</v>
      </c>
      <c r="Q13" s="109">
        <v>0.01</v>
      </c>
      <c r="R13" s="110">
        <v>0.1</v>
      </c>
      <c r="S13" s="109">
        <v>0.45</v>
      </c>
      <c r="T13" s="107" t="s">
        <v>126</v>
      </c>
      <c r="U13" s="105" t="s">
        <v>126</v>
      </c>
      <c r="V13" s="102">
        <f t="shared" si="2"/>
        <v>0.15</v>
      </c>
      <c r="W13" s="106">
        <f t="shared" si="3"/>
        <v>0.51</v>
      </c>
    </row>
    <row r="14" spans="1:23" ht="14" customHeight="1" x14ac:dyDescent="0.3">
      <c r="A14" s="11">
        <v>10</v>
      </c>
      <c r="B14" s="54" t="s">
        <v>27</v>
      </c>
      <c r="C14" s="107" t="s">
        <v>126</v>
      </c>
      <c r="D14" s="100">
        <v>0.25</v>
      </c>
      <c r="E14" s="100">
        <v>0.15</v>
      </c>
      <c r="F14" s="107" t="s">
        <v>126</v>
      </c>
      <c r="G14" s="105" t="s">
        <v>126</v>
      </c>
      <c r="H14" s="102">
        <f t="shared" si="1"/>
        <v>0.2</v>
      </c>
      <c r="I14" s="111" t="s">
        <v>126</v>
      </c>
      <c r="J14" s="100">
        <v>0.25</v>
      </c>
      <c r="K14" s="100">
        <v>0.15</v>
      </c>
      <c r="L14" s="107" t="s">
        <v>126</v>
      </c>
      <c r="M14" s="107" t="s">
        <v>126</v>
      </c>
      <c r="N14" s="100">
        <v>0.2</v>
      </c>
      <c r="O14" s="102">
        <f t="shared" si="0"/>
        <v>0.2</v>
      </c>
      <c r="P14" s="112" t="s">
        <v>126</v>
      </c>
      <c r="Q14" s="109">
        <v>0.25</v>
      </c>
      <c r="R14" s="109">
        <v>0.15</v>
      </c>
      <c r="S14" s="113" t="s">
        <v>126</v>
      </c>
      <c r="T14" s="107" t="s">
        <v>126</v>
      </c>
      <c r="U14" s="105" t="s">
        <v>126</v>
      </c>
      <c r="V14" s="102">
        <f t="shared" si="2"/>
        <v>0.2</v>
      </c>
      <c r="W14" s="106">
        <f t="shared" si="3"/>
        <v>0.2</v>
      </c>
    </row>
    <row r="15" spans="1:23" ht="42" customHeight="1" x14ac:dyDescent="0.3">
      <c r="A15" s="11">
        <v>11</v>
      </c>
      <c r="B15" s="54" t="s">
        <v>28</v>
      </c>
      <c r="C15" s="100">
        <v>0.22</v>
      </c>
      <c r="D15" s="100">
        <v>0.02</v>
      </c>
      <c r="E15" s="100">
        <v>0.05</v>
      </c>
      <c r="F15" s="107" t="s">
        <v>126</v>
      </c>
      <c r="G15" s="105" t="s">
        <v>126</v>
      </c>
      <c r="H15" s="102">
        <f t="shared" si="1"/>
        <v>0.1</v>
      </c>
      <c r="I15" s="103">
        <v>0.22</v>
      </c>
      <c r="J15" s="100">
        <v>0.02</v>
      </c>
      <c r="K15" s="100">
        <v>0.05</v>
      </c>
      <c r="L15" s="107" t="s">
        <v>126</v>
      </c>
      <c r="M15" s="107" t="s">
        <v>126</v>
      </c>
      <c r="N15" s="100">
        <v>0.2</v>
      </c>
      <c r="O15" s="102">
        <f t="shared" si="0"/>
        <v>0.12</v>
      </c>
      <c r="P15" s="108">
        <v>0.22</v>
      </c>
      <c r="Q15" s="109">
        <v>0.02</v>
      </c>
      <c r="R15" s="109">
        <v>0.05</v>
      </c>
      <c r="S15" s="113" t="s">
        <v>126</v>
      </c>
      <c r="T15" s="107" t="s">
        <v>126</v>
      </c>
      <c r="U15" s="105" t="s">
        <v>126</v>
      </c>
      <c r="V15" s="102">
        <f t="shared" si="2"/>
        <v>0.1</v>
      </c>
      <c r="W15" s="106">
        <f t="shared" si="3"/>
        <v>0.11</v>
      </c>
    </row>
    <row r="16" spans="1:23" ht="14" customHeight="1" x14ac:dyDescent="0.3">
      <c r="A16" s="11">
        <v>12</v>
      </c>
      <c r="B16" s="54" t="s">
        <v>33</v>
      </c>
      <c r="C16" s="107" t="s">
        <v>126</v>
      </c>
      <c r="D16" s="107" t="s">
        <v>126</v>
      </c>
      <c r="E16" s="107" t="s">
        <v>126</v>
      </c>
      <c r="F16" s="107" t="s">
        <v>126</v>
      </c>
      <c r="G16" s="105" t="s">
        <v>126</v>
      </c>
      <c r="H16" s="102">
        <v>0</v>
      </c>
      <c r="I16" s="111" t="s">
        <v>126</v>
      </c>
      <c r="J16" s="107" t="s">
        <v>126</v>
      </c>
      <c r="K16" s="107" t="s">
        <v>126</v>
      </c>
      <c r="L16" s="114">
        <v>0.11</v>
      </c>
      <c r="M16" s="107" t="s">
        <v>126</v>
      </c>
      <c r="N16" s="107" t="s">
        <v>126</v>
      </c>
      <c r="O16" s="102">
        <f t="shared" si="0"/>
        <v>0.11</v>
      </c>
      <c r="P16" s="115" t="s">
        <v>126</v>
      </c>
      <c r="Q16" s="107" t="s">
        <v>126</v>
      </c>
      <c r="R16" s="107" t="s">
        <v>126</v>
      </c>
      <c r="S16" s="107" t="s">
        <v>126</v>
      </c>
      <c r="T16" s="107" t="s">
        <v>126</v>
      </c>
      <c r="U16" s="105" t="s">
        <v>126</v>
      </c>
      <c r="V16" s="102">
        <v>0</v>
      </c>
      <c r="W16" s="106">
        <f t="shared" si="3"/>
        <v>0.04</v>
      </c>
    </row>
    <row r="17" spans="1:23" ht="28" customHeight="1" x14ac:dyDescent="0.3">
      <c r="A17" s="51">
        <v>13</v>
      </c>
      <c r="B17" s="54" t="s">
        <v>34</v>
      </c>
      <c r="C17" s="100">
        <v>0.09</v>
      </c>
      <c r="D17" s="100">
        <v>7.0000000000000007E-2</v>
      </c>
      <c r="E17" s="100">
        <v>0.3</v>
      </c>
      <c r="F17" s="100">
        <v>0.22</v>
      </c>
      <c r="G17" s="105" t="s">
        <v>126</v>
      </c>
      <c r="H17" s="102">
        <f t="shared" si="1"/>
        <v>0.17</v>
      </c>
      <c r="I17" s="103">
        <v>0.09</v>
      </c>
      <c r="J17" s="100">
        <v>7.0000000000000007E-2</v>
      </c>
      <c r="K17" s="100">
        <v>0.3</v>
      </c>
      <c r="L17" s="100">
        <v>0.27200000000000002</v>
      </c>
      <c r="M17" s="107" t="s">
        <v>126</v>
      </c>
      <c r="N17" s="100">
        <v>0.03</v>
      </c>
      <c r="O17" s="102">
        <f t="shared" si="0"/>
        <v>0.15</v>
      </c>
      <c r="P17" s="108">
        <v>0.09</v>
      </c>
      <c r="Q17" s="109">
        <v>7.0000000000000007E-2</v>
      </c>
      <c r="R17" s="110">
        <v>0.3</v>
      </c>
      <c r="S17" s="109">
        <v>0.14000000000000001</v>
      </c>
      <c r="T17" s="107" t="s">
        <v>126</v>
      </c>
      <c r="U17" s="105" t="s">
        <v>126</v>
      </c>
      <c r="V17" s="102">
        <f t="shared" si="2"/>
        <v>0.15</v>
      </c>
      <c r="W17" s="106">
        <f t="shared" si="3"/>
        <v>0.16</v>
      </c>
    </row>
    <row r="18" spans="1:23" x14ac:dyDescent="0.3">
      <c r="F18" s="19"/>
      <c r="G18" s="4"/>
      <c r="H18" s="4"/>
    </row>
    <row r="19" spans="1:23" x14ac:dyDescent="0.3">
      <c r="A19" s="139" t="s">
        <v>62</v>
      </c>
      <c r="B19" s="139"/>
      <c r="C19" s="139"/>
      <c r="D19" s="139"/>
      <c r="E19" s="139"/>
      <c r="F19" s="139"/>
      <c r="G19" s="139"/>
      <c r="H19" s="139"/>
      <c r="I19" s="139"/>
      <c r="J19" s="139"/>
      <c r="K19" s="139"/>
      <c r="L19" s="139"/>
      <c r="M19" s="139"/>
      <c r="N19" s="139"/>
      <c r="O19" s="139"/>
      <c r="P19" s="139"/>
      <c r="Q19" s="139"/>
      <c r="R19" s="139"/>
      <c r="S19" s="139"/>
      <c r="T19" s="139"/>
      <c r="U19" s="139"/>
      <c r="V19" s="139"/>
      <c r="W19" s="139"/>
    </row>
    <row r="20" spans="1:23" ht="31.5" customHeight="1" x14ac:dyDescent="0.3">
      <c r="A20" s="138" t="s">
        <v>130</v>
      </c>
      <c r="B20" s="138"/>
      <c r="C20" s="138"/>
      <c r="D20" s="138"/>
      <c r="E20" s="138"/>
      <c r="F20" s="138"/>
      <c r="G20" s="138"/>
      <c r="H20" s="138"/>
      <c r="I20" s="138"/>
      <c r="J20" s="138"/>
      <c r="K20" s="138"/>
      <c r="L20" s="138"/>
      <c r="M20" s="138"/>
      <c r="N20" s="138"/>
      <c r="O20" s="138"/>
      <c r="P20" s="138"/>
      <c r="Q20" s="138"/>
      <c r="R20" s="138"/>
      <c r="S20" s="138"/>
      <c r="T20" s="138"/>
      <c r="U20" s="138"/>
      <c r="V20" s="138"/>
      <c r="W20" s="138"/>
    </row>
  </sheetData>
  <mergeCells count="10">
    <mergeCell ref="A2:W2"/>
    <mergeCell ref="A1:W1"/>
    <mergeCell ref="A20:W20"/>
    <mergeCell ref="A19:W19"/>
    <mergeCell ref="A3:A4"/>
    <mergeCell ref="B3:B4"/>
    <mergeCell ref="C3:H3"/>
    <mergeCell ref="I3:O3"/>
    <mergeCell ref="W3:W4"/>
    <mergeCell ref="P3:V3"/>
  </mergeCells>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9"/>
  <sheetViews>
    <sheetView zoomScaleNormal="100" workbookViewId="0">
      <selection sqref="A1:C1"/>
    </sheetView>
  </sheetViews>
  <sheetFormatPr defaultColWidth="9.1796875" defaultRowHeight="14" x14ac:dyDescent="0.3"/>
  <cols>
    <col min="1" max="1" width="4.1796875" style="2" customWidth="1"/>
    <col min="2" max="2" width="35.26953125" style="2" customWidth="1"/>
    <col min="3" max="3" width="19.26953125" style="2" customWidth="1"/>
    <col min="4" max="4" width="18.453125" style="2" customWidth="1"/>
    <col min="5" max="16384" width="9.1796875" style="2"/>
  </cols>
  <sheetData>
    <row r="1" spans="1:5" x14ac:dyDescent="0.3">
      <c r="A1" s="155" t="s">
        <v>114</v>
      </c>
      <c r="B1" s="155"/>
      <c r="C1" s="155"/>
      <c r="D1" s="20"/>
      <c r="E1" s="20"/>
    </row>
    <row r="2" spans="1:5" x14ac:dyDescent="0.3">
      <c r="A2" s="154" t="s">
        <v>44</v>
      </c>
      <c r="B2" s="154"/>
      <c r="C2" s="154"/>
    </row>
    <row r="3" spans="1:5" ht="28" x14ac:dyDescent="0.3">
      <c r="A3" s="82" t="s">
        <v>63</v>
      </c>
      <c r="B3" s="82" t="s">
        <v>42</v>
      </c>
      <c r="C3" s="82" t="s">
        <v>51</v>
      </c>
    </row>
    <row r="4" spans="1:5" x14ac:dyDescent="0.3">
      <c r="A4" s="21">
        <v>1</v>
      </c>
      <c r="B4" s="3" t="s">
        <v>60</v>
      </c>
      <c r="C4" s="22">
        <v>67864.570000000007</v>
      </c>
    </row>
    <row r="5" spans="1:5" ht="21" customHeight="1" x14ac:dyDescent="0.3">
      <c r="A5" s="21">
        <v>2</v>
      </c>
      <c r="B5" s="3" t="s">
        <v>61</v>
      </c>
      <c r="C5" s="22">
        <v>41364.769999999997</v>
      </c>
    </row>
    <row r="6" spans="1:5" x14ac:dyDescent="0.3">
      <c r="A6" s="21">
        <v>3</v>
      </c>
      <c r="B6" s="3" t="s">
        <v>40</v>
      </c>
      <c r="C6" s="22">
        <v>55500</v>
      </c>
    </row>
    <row r="7" spans="1:5" x14ac:dyDescent="0.3">
      <c r="A7" s="156" t="s">
        <v>41</v>
      </c>
      <c r="B7" s="157"/>
      <c r="C7" s="22">
        <f>SUM(C4:C6)</f>
        <v>164729.34</v>
      </c>
    </row>
    <row r="8" spans="1:5" x14ac:dyDescent="0.3">
      <c r="A8" s="150" t="s">
        <v>85</v>
      </c>
      <c r="B8" s="151"/>
      <c r="C8" s="22">
        <f>C7/3</f>
        <v>54909.78</v>
      </c>
    </row>
    <row r="9" spans="1:5" x14ac:dyDescent="0.3">
      <c r="A9" s="150" t="s">
        <v>43</v>
      </c>
      <c r="B9" s="151"/>
      <c r="C9" s="23">
        <v>120</v>
      </c>
    </row>
    <row r="10" spans="1:5" x14ac:dyDescent="0.3">
      <c r="A10" s="150" t="s">
        <v>86</v>
      </c>
      <c r="B10" s="151"/>
      <c r="C10" s="22">
        <f>C8/C9</f>
        <v>457.58150000000001</v>
      </c>
    </row>
    <row r="11" spans="1:5" x14ac:dyDescent="0.3">
      <c r="A11" s="150" t="s">
        <v>87</v>
      </c>
      <c r="B11" s="151"/>
      <c r="C11" s="22">
        <f>C10/16</f>
        <v>28.59884375</v>
      </c>
    </row>
    <row r="12" spans="1:5" x14ac:dyDescent="0.3">
      <c r="A12" s="152" t="s">
        <v>88</v>
      </c>
      <c r="B12" s="153"/>
      <c r="C12" s="24">
        <f>C11/21</f>
        <v>1.3618497023809524</v>
      </c>
    </row>
    <row r="13" spans="1:5" x14ac:dyDescent="0.3">
      <c r="B13" s="25"/>
      <c r="C13" s="26"/>
    </row>
    <row r="14" spans="1:5" x14ac:dyDescent="0.3">
      <c r="B14" s="25"/>
      <c r="C14" s="26"/>
    </row>
    <row r="15" spans="1:5" x14ac:dyDescent="0.3">
      <c r="B15" s="25"/>
      <c r="C15" s="26"/>
    </row>
    <row r="16" spans="1:5" x14ac:dyDescent="0.3">
      <c r="B16" s="25"/>
      <c r="C16" s="26"/>
    </row>
    <row r="17" spans="2:3" x14ac:dyDescent="0.3">
      <c r="B17" s="25"/>
      <c r="C17" s="26"/>
    </row>
    <row r="18" spans="2:3" x14ac:dyDescent="0.3">
      <c r="C18" s="26"/>
    </row>
    <row r="19" spans="2:3" x14ac:dyDescent="0.3">
      <c r="C19" s="26"/>
    </row>
  </sheetData>
  <mergeCells count="8">
    <mergeCell ref="A11:B11"/>
    <mergeCell ref="A12:B12"/>
    <mergeCell ref="A2:C2"/>
    <mergeCell ref="A1:C1"/>
    <mergeCell ref="A7:B7"/>
    <mergeCell ref="A8:B8"/>
    <mergeCell ref="A9:B9"/>
    <mergeCell ref="A10:B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workbookViewId="0">
      <selection sqref="A1:G1"/>
    </sheetView>
  </sheetViews>
  <sheetFormatPr defaultColWidth="9.1796875" defaultRowHeight="12.5" x14ac:dyDescent="0.25"/>
  <cols>
    <col min="1" max="1" width="32.7265625" style="27" customWidth="1"/>
    <col min="2" max="2" width="17.7265625" style="27" customWidth="1"/>
    <col min="3" max="3" width="7.7265625" style="27" customWidth="1"/>
    <col min="4" max="4" width="19.7265625" style="27" customWidth="1"/>
    <col min="5" max="5" width="21.7265625" style="27" customWidth="1"/>
    <col min="6" max="6" width="11.7265625" style="27" customWidth="1"/>
    <col min="7" max="7" width="22.7265625" style="27" customWidth="1"/>
    <col min="8" max="16384" width="9.1796875" style="27"/>
  </cols>
  <sheetData>
    <row r="1" spans="1:7" ht="14" x14ac:dyDescent="0.3">
      <c r="A1" s="158" t="s">
        <v>113</v>
      </c>
      <c r="B1" s="158"/>
      <c r="C1" s="158"/>
      <c r="D1" s="158"/>
      <c r="E1" s="158"/>
      <c r="F1" s="158"/>
      <c r="G1" s="158"/>
    </row>
    <row r="2" spans="1:7" ht="14" x14ac:dyDescent="0.25">
      <c r="A2" s="130" t="s">
        <v>75</v>
      </c>
      <c r="B2" s="130"/>
      <c r="C2" s="130"/>
      <c r="D2" s="130"/>
      <c r="E2" s="130"/>
      <c r="F2" s="130"/>
      <c r="G2" s="130"/>
    </row>
    <row r="3" spans="1:7" ht="42" x14ac:dyDescent="0.25">
      <c r="A3" s="10" t="s">
        <v>66</v>
      </c>
      <c r="B3" s="10" t="s">
        <v>131</v>
      </c>
      <c r="C3" s="10" t="s">
        <v>132</v>
      </c>
      <c r="D3" s="10" t="s">
        <v>71</v>
      </c>
      <c r="E3" s="10" t="s">
        <v>72</v>
      </c>
      <c r="F3" s="33" t="s">
        <v>90</v>
      </c>
      <c r="G3" s="10" t="s">
        <v>133</v>
      </c>
    </row>
    <row r="4" spans="1:7" ht="14" x14ac:dyDescent="0.3">
      <c r="A4" s="83">
        <v>1</v>
      </c>
      <c r="B4" s="83">
        <v>2</v>
      </c>
      <c r="C4" s="84">
        <v>3</v>
      </c>
      <c r="D4" s="83" t="s">
        <v>67</v>
      </c>
      <c r="E4" s="85" t="s">
        <v>74</v>
      </c>
      <c r="F4" s="85">
        <v>6</v>
      </c>
      <c r="G4" s="83" t="s">
        <v>95</v>
      </c>
    </row>
    <row r="5" spans="1:7" ht="14" x14ac:dyDescent="0.3">
      <c r="A5" s="9" t="s">
        <v>134</v>
      </c>
      <c r="B5" s="11">
        <v>176.75</v>
      </c>
      <c r="C5" s="165">
        <v>1720</v>
      </c>
      <c r="D5" s="160">
        <f>ROUND(B5/C5,2)</f>
        <v>0.1</v>
      </c>
      <c r="E5" s="160">
        <f>ROUND(AVERAGE(D5),2)</f>
        <v>0.1</v>
      </c>
      <c r="F5" s="162">
        <v>3</v>
      </c>
      <c r="G5" s="28"/>
    </row>
    <row r="6" spans="1:7" ht="14" x14ac:dyDescent="0.3">
      <c r="A6" s="9" t="s">
        <v>68</v>
      </c>
      <c r="B6" s="11">
        <v>176.75</v>
      </c>
      <c r="C6" s="165"/>
      <c r="D6" s="161"/>
      <c r="E6" s="161"/>
      <c r="F6" s="163"/>
      <c r="G6" s="29">
        <f>ROUND(E5*F5+E7*F7,2)</f>
        <v>0.34</v>
      </c>
    </row>
    <row r="7" spans="1:7" ht="14" x14ac:dyDescent="0.3">
      <c r="A7" s="9" t="s">
        <v>69</v>
      </c>
      <c r="B7" s="11">
        <v>75.75</v>
      </c>
      <c r="C7" s="165"/>
      <c r="D7" s="18">
        <f>ROUND(B7/C5,2)</f>
        <v>0.04</v>
      </c>
      <c r="E7" s="32">
        <f>D7</f>
        <v>0.04</v>
      </c>
      <c r="F7" s="38">
        <v>1</v>
      </c>
      <c r="G7" s="30"/>
    </row>
    <row r="8" spans="1:7" ht="14" x14ac:dyDescent="0.3">
      <c r="A8" s="5"/>
      <c r="B8" s="5"/>
      <c r="C8" s="5"/>
      <c r="D8" s="5"/>
      <c r="E8" s="5"/>
      <c r="F8" s="5"/>
      <c r="G8" s="5"/>
    </row>
    <row r="9" spans="1:7" ht="35.25" customHeight="1" x14ac:dyDescent="0.25">
      <c r="A9" s="138" t="s">
        <v>135</v>
      </c>
      <c r="B9" s="138"/>
      <c r="C9" s="138"/>
      <c r="D9" s="138"/>
      <c r="E9" s="138"/>
      <c r="F9" s="138"/>
      <c r="G9" s="138"/>
    </row>
    <row r="10" spans="1:7" ht="69" customHeight="1" x14ac:dyDescent="0.25">
      <c r="A10" s="138" t="s">
        <v>136</v>
      </c>
      <c r="B10" s="138"/>
      <c r="C10" s="138"/>
      <c r="D10" s="138"/>
      <c r="E10" s="138"/>
      <c r="F10" s="138"/>
      <c r="G10" s="138"/>
    </row>
    <row r="11" spans="1:7" ht="36.75" customHeight="1" x14ac:dyDescent="0.25">
      <c r="A11" s="164" t="s">
        <v>137</v>
      </c>
      <c r="B11" s="164"/>
      <c r="C11" s="164"/>
      <c r="D11" s="164"/>
      <c r="E11" s="164"/>
      <c r="F11" s="164"/>
      <c r="G11" s="164"/>
    </row>
    <row r="12" spans="1:7" ht="14" x14ac:dyDescent="0.25">
      <c r="A12" s="159" t="s">
        <v>138</v>
      </c>
      <c r="B12" s="159"/>
      <c r="C12" s="159"/>
      <c r="D12" s="159"/>
      <c r="E12" s="159"/>
      <c r="F12" s="159"/>
      <c r="G12" s="159"/>
    </row>
  </sheetData>
  <mergeCells count="10">
    <mergeCell ref="A1:G1"/>
    <mergeCell ref="A2:G2"/>
    <mergeCell ref="A9:G9"/>
    <mergeCell ref="A10:G10"/>
    <mergeCell ref="A12:G12"/>
    <mergeCell ref="D5:D6"/>
    <mergeCell ref="E5:E6"/>
    <mergeCell ref="F5:F6"/>
    <mergeCell ref="A11:G11"/>
    <mergeCell ref="C5:C7"/>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zoomScaleNormal="100" workbookViewId="0">
      <selection sqref="A1:B1"/>
    </sheetView>
  </sheetViews>
  <sheetFormatPr defaultColWidth="9.1796875" defaultRowHeight="15.5" x14ac:dyDescent="0.35"/>
  <cols>
    <col min="1" max="1" width="22.1796875" style="1" customWidth="1"/>
    <col min="2" max="3" width="82.81640625" style="1" customWidth="1"/>
    <col min="4" max="16384" width="9.1796875" style="1"/>
  </cols>
  <sheetData>
    <row r="1" spans="1:3" s="2" customFormat="1" ht="14" x14ac:dyDescent="0.3">
      <c r="A1" s="122" t="s">
        <v>112</v>
      </c>
      <c r="B1" s="122"/>
    </row>
    <row r="2" spans="1:3" s="2" customFormat="1" ht="38.25" customHeight="1" x14ac:dyDescent="0.3">
      <c r="A2" s="132" t="s">
        <v>64</v>
      </c>
      <c r="B2" s="132"/>
      <c r="C2" s="31"/>
    </row>
    <row r="3" spans="1:3" s="2" customFormat="1" ht="187.5" customHeight="1" x14ac:dyDescent="0.3">
      <c r="A3" s="166" t="s">
        <v>111</v>
      </c>
      <c r="B3" s="167"/>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4.1. pielikums</vt:lpstr>
      <vt:lpstr>4.2. pielikums</vt:lpstr>
      <vt:lpstr>4.3. pielikums</vt:lpstr>
      <vt:lpstr>4.4. pielikums</vt:lpstr>
      <vt:lpstr>4.5. pielikums</vt:lpstr>
      <vt:lpstr>4.6. pielikums</vt:lpstr>
      <vt:lpstr>4.7. pielikums</vt:lpstr>
      <vt:lpstr>'4.2.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Vjačeslavs Makarovs</cp:lastModifiedBy>
  <cp:lastPrinted>2018-01-11T12:16:49Z</cp:lastPrinted>
  <dcterms:created xsi:type="dcterms:W3CDTF">2012-09-03T07:32:21Z</dcterms:created>
  <dcterms:modified xsi:type="dcterms:W3CDTF">2021-06-21T13:51:31Z</dcterms:modified>
</cp:coreProperties>
</file>